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L:\Finance\MthEnd\Daily Census\"/>
    </mc:Choice>
  </mc:AlternateContent>
  <xr:revisionPtr revIDLastSave="0" documentId="13_ncr:1_{137F8099-C1BD-4EB4-AC74-6503613FFB25}" xr6:coauthVersionLast="47" xr6:coauthVersionMax="47" xr10:uidLastSave="{00000000-0000-0000-0000-000000000000}"/>
  <bookViews>
    <workbookView xWindow="1116" yWindow="2460" windowWidth="12120" windowHeight="1231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2" i="1"/>
  <c r="AB20" i="1"/>
  <c r="AC20" i="1"/>
  <c r="C4" i="1"/>
  <c r="D6" i="1"/>
  <c r="C6" i="1"/>
  <c r="D2" i="1"/>
  <c r="D4" i="1"/>
  <c r="I14" i="1" l="1"/>
  <c r="F68" i="1" l="1"/>
  <c r="T13" i="1"/>
  <c r="I13" i="1"/>
  <c r="I12" i="1"/>
  <c r="I10" i="1"/>
  <c r="I11" i="1" l="1"/>
  <c r="D10" i="1"/>
  <c r="I9" i="1"/>
  <c r="I8" i="1"/>
  <c r="C2" i="1" l="1"/>
  <c r="C61" i="1"/>
  <c r="E61" i="1"/>
  <c r="F61" i="1" s="1"/>
  <c r="E60" i="1"/>
  <c r="C60" i="1"/>
  <c r="Q62" i="1" l="1"/>
  <c r="S27" i="1" l="1"/>
  <c r="Q65" i="1"/>
  <c r="N78" i="1" l="1"/>
  <c r="M78" i="1"/>
  <c r="I78" i="1"/>
  <c r="D78" i="1"/>
  <c r="C78" i="1"/>
  <c r="F62" i="1" l="1"/>
  <c r="F60" i="1"/>
  <c r="F63" i="1" l="1"/>
  <c r="G63" i="1" s="1"/>
  <c r="H63" i="1" s="1"/>
  <c r="S35" i="1"/>
  <c r="M77" i="1" l="1"/>
  <c r="N77" i="1"/>
  <c r="D77" i="1"/>
  <c r="N76" i="1" l="1"/>
  <c r="M76" i="1"/>
  <c r="D76" i="1"/>
  <c r="N75" i="1"/>
  <c r="M75" i="1"/>
  <c r="D75" i="1"/>
  <c r="C77" i="1" l="1"/>
  <c r="E69" i="1" l="1"/>
  <c r="F65" i="1"/>
  <c r="E63" i="1"/>
  <c r="I77" i="1" l="1"/>
  <c r="S33" i="1" l="1"/>
  <c r="C76" i="1" l="1"/>
  <c r="I76" i="1" l="1"/>
  <c r="C75" i="1" l="1"/>
  <c r="U20" i="1" l="1"/>
  <c r="B29" i="1" l="1"/>
  <c r="B45" i="1" s="1"/>
  <c r="B30" i="1"/>
  <c r="B31" i="1"/>
  <c r="B47" i="1" s="1"/>
  <c r="B32" i="1"/>
  <c r="B33" i="1"/>
  <c r="B49" i="1" s="1"/>
  <c r="B34" i="1"/>
  <c r="B35" i="1"/>
  <c r="B51" i="1" s="1"/>
  <c r="B36" i="1"/>
  <c r="B37" i="1"/>
  <c r="B53" i="1" s="1"/>
  <c r="B38" i="1"/>
  <c r="B28" i="1"/>
  <c r="B44" i="1" s="1"/>
  <c r="B27" i="1"/>
  <c r="B43" i="1" s="1"/>
  <c r="E39" i="1"/>
  <c r="F39" i="1"/>
  <c r="S28" i="1"/>
  <c r="S29" i="1"/>
  <c r="S30" i="1"/>
  <c r="S31" i="1"/>
  <c r="S32" i="1"/>
  <c r="S34" i="1"/>
  <c r="S36" i="1"/>
  <c r="S37" i="1"/>
  <c r="S38" i="1"/>
  <c r="D39" i="1"/>
  <c r="C39" i="1"/>
  <c r="W45" i="1" l="1"/>
  <c r="T37" i="1"/>
  <c r="T35" i="1"/>
  <c r="T33" i="1"/>
  <c r="T31" i="1"/>
  <c r="T29" i="1"/>
  <c r="S39" i="1"/>
  <c r="T27" i="1"/>
  <c r="AB27" i="1" s="1"/>
  <c r="T28" i="1"/>
  <c r="T38" i="1"/>
  <c r="T36" i="1"/>
  <c r="T34" i="1"/>
  <c r="T32" i="1"/>
  <c r="T30" i="1"/>
  <c r="B54" i="1"/>
  <c r="W54" i="1" s="1"/>
  <c r="B52" i="1"/>
  <c r="B50" i="1"/>
  <c r="W51" i="1" s="1"/>
  <c r="B48" i="1"/>
  <c r="B46" i="1"/>
  <c r="B39" i="1"/>
  <c r="I75" i="1"/>
  <c r="E24" i="1" l="1"/>
  <c r="D24" i="1"/>
  <c r="C24" i="1"/>
  <c r="W48" i="1"/>
  <c r="W55" i="1"/>
  <c r="T39" i="1"/>
  <c r="B55" i="1"/>
  <c r="AA21" i="1"/>
  <c r="Z21" i="1"/>
  <c r="U21" i="1"/>
  <c r="J21" i="1"/>
  <c r="L21" i="1" s="1"/>
  <c r="O21" i="1"/>
  <c r="P21" i="1" s="1"/>
  <c r="R21" i="1" s="1"/>
  <c r="E21" i="1"/>
  <c r="Z19" i="1"/>
  <c r="O19" i="1"/>
  <c r="J19" i="1"/>
  <c r="E19" i="1"/>
  <c r="P19" i="1" l="1"/>
  <c r="F19" i="1"/>
  <c r="H19" i="1" s="1"/>
  <c r="S21" i="1"/>
  <c r="AC21" i="1" s="1"/>
  <c r="F21" i="1"/>
  <c r="H21" i="1" s="1"/>
  <c r="Z18" i="1"/>
  <c r="O18" i="1"/>
  <c r="P18" i="1" s="1"/>
  <c r="J18" i="1"/>
  <c r="E18" i="1"/>
  <c r="F18" i="1" s="1"/>
  <c r="H18" i="1" s="1"/>
  <c r="T21" i="1" l="1"/>
  <c r="V21" i="1" s="1"/>
  <c r="AB21" i="1"/>
  <c r="Z17" i="1"/>
  <c r="O17" i="1" l="1"/>
  <c r="J17" i="1"/>
  <c r="E17" i="1"/>
  <c r="P17" i="1" l="1"/>
  <c r="O78" i="1"/>
  <c r="F17" i="1"/>
  <c r="H17" i="1" s="1"/>
  <c r="E78" i="1"/>
  <c r="Z16" i="1"/>
  <c r="O16" i="1"/>
  <c r="P16" i="1" s="1"/>
  <c r="J16" i="1"/>
  <c r="E16" i="1"/>
  <c r="F16" i="1" s="1"/>
  <c r="H16" i="1" s="1"/>
  <c r="Z15" i="1" l="1"/>
  <c r="O15" i="1"/>
  <c r="P15" i="1" s="1"/>
  <c r="J15" i="1"/>
  <c r="E15" i="1"/>
  <c r="F15" i="1" s="1"/>
  <c r="H15" i="1" s="1"/>
  <c r="Z14" i="1" l="1"/>
  <c r="O14" i="1" l="1"/>
  <c r="J14" i="1"/>
  <c r="E14" i="1"/>
  <c r="F14" i="1" l="1"/>
  <c r="H14" i="1" s="1"/>
  <c r="E77" i="1"/>
  <c r="P14" i="1"/>
  <c r="O77" i="1"/>
  <c r="Z13" i="1"/>
  <c r="O13" i="1" l="1"/>
  <c r="P13" i="1" s="1"/>
  <c r="J13" i="1"/>
  <c r="E13" i="1"/>
  <c r="F13" i="1" s="1"/>
  <c r="H13" i="1" s="1"/>
  <c r="J12" i="1" l="1"/>
  <c r="E12" i="1"/>
  <c r="AA12" i="1"/>
  <c r="AA13" i="1"/>
  <c r="AA14" i="1"/>
  <c r="AA15" i="1"/>
  <c r="AA16" i="1"/>
  <c r="AA17" i="1"/>
  <c r="AA18" i="1"/>
  <c r="AA19" i="1"/>
  <c r="Z12" i="1"/>
  <c r="O12" i="1"/>
  <c r="F12" i="1" l="1"/>
  <c r="H12" i="1" s="1"/>
  <c r="S12" i="1"/>
  <c r="AC12" i="1" s="1"/>
  <c r="P12" i="1"/>
  <c r="J11" i="1"/>
  <c r="AA11" i="1"/>
  <c r="Z11" i="1"/>
  <c r="O11" i="1"/>
  <c r="E11" i="1"/>
  <c r="F11" i="1" l="1"/>
  <c r="H11" i="1" s="1"/>
  <c r="E76" i="1"/>
  <c r="P11" i="1"/>
  <c r="O76" i="1"/>
  <c r="S47" i="1"/>
  <c r="T47" i="1" s="1"/>
  <c r="AA10" i="1"/>
  <c r="Z10" i="1"/>
  <c r="O10" i="1"/>
  <c r="P10" i="1" s="1"/>
  <c r="J10" i="1"/>
  <c r="E10" i="1"/>
  <c r="F10" i="1" s="1"/>
  <c r="H10" i="1" s="1"/>
  <c r="R10" i="1" l="1"/>
  <c r="R11" i="1"/>
  <c r="R12" i="1"/>
  <c r="R13" i="1"/>
  <c r="R14" i="1"/>
  <c r="R15" i="1"/>
  <c r="R16" i="1"/>
  <c r="R17" i="1"/>
  <c r="R18" i="1"/>
  <c r="R19" i="1"/>
  <c r="N20" i="1"/>
  <c r="N22" i="1" s="1"/>
  <c r="D20" i="1"/>
  <c r="D22" i="1" s="1"/>
  <c r="S19" i="1"/>
  <c r="AC19" i="1" s="1"/>
  <c r="S10" i="1"/>
  <c r="AC10" i="1" s="1"/>
  <c r="S11" i="1"/>
  <c r="AC11" i="1" s="1"/>
  <c r="T12" i="1"/>
  <c r="AB12" i="1" s="1"/>
  <c r="S13" i="1"/>
  <c r="AC13" i="1" s="1"/>
  <c r="S14" i="1"/>
  <c r="AC14" i="1" s="1"/>
  <c r="S15" i="1"/>
  <c r="AC15" i="1" s="1"/>
  <c r="S16" i="1"/>
  <c r="AC16" i="1" s="1"/>
  <c r="S17" i="1"/>
  <c r="AC17" i="1" s="1"/>
  <c r="S18" i="1"/>
  <c r="AC18" i="1" s="1"/>
  <c r="O9" i="1"/>
  <c r="O8" i="1"/>
  <c r="O75" i="1" l="1"/>
  <c r="V48" i="1"/>
  <c r="S53" i="1"/>
  <c r="T53" i="1" s="1"/>
  <c r="S52" i="1"/>
  <c r="T52" i="1" s="1"/>
  <c r="V54" i="1"/>
  <c r="S54" i="1"/>
  <c r="S78" i="1"/>
  <c r="V51" i="1"/>
  <c r="S51" i="1"/>
  <c r="S77" i="1"/>
  <c r="S76" i="1"/>
  <c r="T11" i="1"/>
  <c r="AB11" i="1" s="1"/>
  <c r="S46" i="1"/>
  <c r="T46" i="1" s="1"/>
  <c r="S50" i="1"/>
  <c r="T50" i="1" s="1"/>
  <c r="S48" i="1"/>
  <c r="S49" i="1"/>
  <c r="T49" i="1" s="1"/>
  <c r="S45" i="1"/>
  <c r="O20" i="1"/>
  <c r="T19" i="1"/>
  <c r="AB19" i="1" s="1"/>
  <c r="T18" i="1"/>
  <c r="AB18" i="1" s="1"/>
  <c r="T17" i="1"/>
  <c r="AB17" i="1" s="1"/>
  <c r="T16" i="1"/>
  <c r="AB16" i="1" s="1"/>
  <c r="T15" i="1"/>
  <c r="AB15" i="1" s="1"/>
  <c r="P8" i="1"/>
  <c r="T10" i="1"/>
  <c r="AB10" i="1" s="1"/>
  <c r="P9" i="1"/>
  <c r="R9" i="1" s="1"/>
  <c r="T14" i="1"/>
  <c r="AB14" i="1" s="1"/>
  <c r="AB13" i="1"/>
  <c r="E9" i="1"/>
  <c r="E8" i="1"/>
  <c r="U54" i="1" l="1"/>
  <c r="T54" i="1"/>
  <c r="U51" i="1"/>
  <c r="T51" i="1"/>
  <c r="T48" i="1"/>
  <c r="U48" i="1"/>
  <c r="T45" i="1"/>
  <c r="S8" i="1"/>
  <c r="AC8" i="1" s="1"/>
  <c r="E75" i="1"/>
  <c r="S9" i="1"/>
  <c r="AC9" i="1" s="1"/>
  <c r="F9" i="1"/>
  <c r="H9" i="1" s="1"/>
  <c r="E20" i="1"/>
  <c r="F8" i="1"/>
  <c r="H8" i="1" s="1"/>
  <c r="U9" i="1"/>
  <c r="U10" i="1"/>
  <c r="U11" i="1"/>
  <c r="U12" i="1"/>
  <c r="U13" i="1"/>
  <c r="U14" i="1"/>
  <c r="U15" i="1"/>
  <c r="J9" i="1"/>
  <c r="L9" i="1" s="1"/>
  <c r="L10" i="1"/>
  <c r="L12" i="1"/>
  <c r="L13" i="1"/>
  <c r="L14" i="1"/>
  <c r="L15" i="1"/>
  <c r="L16" i="1"/>
  <c r="L17" i="1"/>
  <c r="L18" i="1"/>
  <c r="L19" i="1"/>
  <c r="L11" i="1"/>
  <c r="U16" i="1"/>
  <c r="V16" i="1" s="1"/>
  <c r="U17" i="1"/>
  <c r="V17" i="1" s="1"/>
  <c r="U18" i="1"/>
  <c r="V18" i="1" s="1"/>
  <c r="U19" i="1"/>
  <c r="C20" i="1"/>
  <c r="C22" i="1" s="1"/>
  <c r="M20" i="1"/>
  <c r="M22" i="1" s="1"/>
  <c r="O22" i="1" s="1"/>
  <c r="B20" i="1"/>
  <c r="AA9" i="1"/>
  <c r="Z9" i="1"/>
  <c r="AA8" i="1"/>
  <c r="Z8" i="1"/>
  <c r="U8" i="1"/>
  <c r="R8" i="1"/>
  <c r="I20" i="1"/>
  <c r="I22" i="1" s="1"/>
  <c r="S43" i="1" l="1"/>
  <c r="T43" i="1" s="1"/>
  <c r="D23" i="1"/>
  <c r="S75" i="1"/>
  <c r="S79" i="1" s="1"/>
  <c r="V45" i="1"/>
  <c r="S44" i="1"/>
  <c r="J8" i="1"/>
  <c r="L8" i="1" s="1"/>
  <c r="T9" i="1"/>
  <c r="AB9" i="1" s="1"/>
  <c r="J20" i="1"/>
  <c r="L20" i="1" s="1"/>
  <c r="F20" i="1"/>
  <c r="H20" i="1" s="1"/>
  <c r="P20" i="1"/>
  <c r="R20" i="1" s="1"/>
  <c r="V14" i="1"/>
  <c r="V12" i="1"/>
  <c r="V10" i="1"/>
  <c r="V13" i="1"/>
  <c r="V19" i="1"/>
  <c r="V15" i="1"/>
  <c r="V11" i="1"/>
  <c r="T44" i="1" l="1"/>
  <c r="U45" i="1"/>
  <c r="S55" i="1"/>
  <c r="S20" i="1"/>
  <c r="V9" i="1"/>
  <c r="T8" i="1"/>
  <c r="E23" i="1" l="1"/>
  <c r="T55" i="1"/>
  <c r="U55" i="1"/>
  <c r="F67" i="1"/>
  <c r="G67" i="1" s="1"/>
  <c r="V55" i="1"/>
  <c r="V8" i="1"/>
  <c r="T20" i="1"/>
  <c r="V20" i="1" s="1"/>
  <c r="AB8" i="1"/>
  <c r="F69" i="1" l="1"/>
  <c r="G69" i="1" l="1"/>
  <c r="F70" i="1"/>
</calcChain>
</file>

<file path=xl/sharedStrings.xml><?xml version="1.0" encoding="utf-8"?>
<sst xmlns="http://schemas.openxmlformats.org/spreadsheetml/2006/main" count="134" uniqueCount="71">
  <si>
    <t>Grand Traverse Pavilions</t>
  </si>
  <si>
    <t>Month</t>
  </si>
  <si>
    <t>Days</t>
  </si>
  <si>
    <t>January</t>
  </si>
  <si>
    <t>ADC</t>
  </si>
  <si>
    <t>Budget</t>
  </si>
  <si>
    <t>Variance</t>
  </si>
  <si>
    <t>Auto, PP, PI</t>
  </si>
  <si>
    <t>MA &amp; Hosp</t>
  </si>
  <si>
    <t>MC &amp; MCA</t>
  </si>
  <si>
    <t>Var</t>
  </si>
  <si>
    <t>Total</t>
  </si>
  <si>
    <t>Census</t>
  </si>
  <si>
    <t>Undup</t>
  </si>
  <si>
    <t>MA &amp; Hosp.</t>
  </si>
  <si>
    <t>Undup.</t>
  </si>
  <si>
    <t>Perc.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</si>
  <si>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</si>
  <si>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</si>
  <si>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</si>
  <si>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</si>
  <si>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</si>
  <si>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</si>
  <si>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</si>
  <si>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</si>
  <si>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</si>
  <si>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</si>
  <si>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</si>
  <si>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Hospice</t>
  </si>
  <si>
    <t>Medicaid</t>
  </si>
  <si>
    <t>MCA</t>
  </si>
  <si>
    <t>MC</t>
  </si>
  <si>
    <t>Skilled Nursing Facility Occupancy</t>
  </si>
  <si>
    <t>Occupancy</t>
  </si>
  <si>
    <t>Percent.</t>
  </si>
  <si>
    <t>Without</t>
  </si>
  <si>
    <t>offline beds</t>
  </si>
  <si>
    <t>Inc. Retros</t>
  </si>
  <si>
    <t>Difference</t>
  </si>
  <si>
    <t>Cottages</t>
  </si>
  <si>
    <t>Willow</t>
  </si>
  <si>
    <t>Hawthorn</t>
  </si>
  <si>
    <t>Evergreen</t>
  </si>
  <si>
    <t>Lofts</t>
  </si>
  <si>
    <t>Grand Totals</t>
  </si>
  <si>
    <t>Projected occupancy</t>
  </si>
  <si>
    <t>QTR</t>
  </si>
  <si>
    <t>SNF</t>
  </si>
  <si>
    <t>YTD</t>
  </si>
  <si>
    <t>7/1 to 12/31</t>
  </si>
  <si>
    <t>Potential</t>
  </si>
  <si>
    <t>Days of</t>
  </si>
  <si>
    <t>Care</t>
  </si>
  <si>
    <t>Occupancy minimum</t>
  </si>
  <si>
    <t>Maximum divisor</t>
  </si>
  <si>
    <t xml:space="preserve">Actual occupancy </t>
  </si>
  <si>
    <t>Date range</t>
  </si>
  <si>
    <t>Offliine</t>
  </si>
  <si>
    <t>Available</t>
  </si>
  <si>
    <t>Total lic.</t>
  </si>
  <si>
    <t>Census by Payer Type by Quarter</t>
  </si>
  <si>
    <t>Q1</t>
  </si>
  <si>
    <t>Q2</t>
  </si>
  <si>
    <t>Q3</t>
  </si>
  <si>
    <t>Percent occupancy on reduced beds</t>
  </si>
  <si>
    <t>Q4</t>
  </si>
  <si>
    <t>SNF "online" Per Letter:</t>
  </si>
  <si>
    <t>82 offline</t>
  </si>
  <si>
    <t>1/1 to 6/30</t>
  </si>
  <si>
    <t>Actual</t>
  </si>
  <si>
    <t>ADC=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</si>
</sst>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</numFmts>
  <fonts count="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right"/>
    </xf>
    <xf numFmtId="9" fontId="0" fillId="0" borderId="0" xfId="2" applyFont="1"/>
    <xf numFmtId="164" fontId="0" fillId="0" borderId="0" xfId="1" applyNumberFormat="1" applyFont="1"/>
    <xf numFmtId="0" fontId="0" fillId="0" borderId="1" xfId="0" applyBorder="1"/>
    <xf numFmtId="0" fontId="0" fillId="0" borderId="1" xfId="0" applyBorder="1" applyAlignment="1">
      <alignment horizontal="right"/>
    </xf>
    <xf numFmtId="164" fontId="0" fillId="0" borderId="1" xfId="1" applyNumberFormat="1" applyFont="1" applyBorder="1"/>
    <xf numFmtId="9" fontId="0" fillId="0" borderId="1" xfId="2" applyFont="1" applyBorder="1"/>
    <xf numFmtId="0" fontId="2" fillId="0" borderId="0" xfId="0" applyFont="1"/>
    <xf numFmtId="10" fontId="0" fillId="0" borderId="0" xfId="2" applyNumberFormat="1" applyFont="1"/>
    <xf numFmtId="165" fontId="0" fillId="0" borderId="0" xfId="1" applyNumberFormat="1" applyFont="1"/>
    <xf numFmtId="165" fontId="0" fillId="0" borderId="1" xfId="1" applyNumberFormat="1" applyFont="1" applyBorder="1"/>
    <xf numFmtId="164" fontId="0" fillId="0" borderId="0" xfId="0" applyNumberFormat="1"/>
    <xf numFmtId="166" fontId="0" fillId="0" borderId="0" xfId="2" applyNumberFormat="1" applyFont="1"/>
    <xf numFmtId="43" fontId="0" fillId="0" borderId="0" xfId="1" applyFont="1"/>
    <xf numFmtId="43" fontId="0" fillId="0" borderId="0" xfId="0" applyNumberFormat="1"/>
    <xf numFmtId="164" fontId="0" fillId="0" borderId="1" xfId="0" applyNumberFormat="1" applyBorder="1"/>
    <xf numFmtId="165" fontId="0" fillId="0" borderId="0" xfId="1" applyNumberFormat="1" applyFont="1" applyFill="1" applyBorder="1"/>
    <xf numFmtId="1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9"/>
  <sheetViews>
    <sheetView tabSelected="1" topLeftCell="V1" workbookViewId="0">
      <selection activeCell="R14" sqref="R14"/>
    </sheetView>
  </sheetViews>
  <sheetFormatPr defaultRowHeight="15" x14ac:dyDescent="0.25"/>
  <cols>
    <col min="1" max="1" width="9.54296875" customWidth="1"/>
    <col min="2" max="2" width="8.7265625" customWidth="1"/>
    <col min="3" max="5" width="10.81640625" customWidth="1"/>
    <col min="6" max="6" width="10.1796875" customWidth="1"/>
    <col min="7" max="7" width="9" customWidth="1"/>
    <col min="8" max="8" width="9.54296875" customWidth="1"/>
    <col min="9" max="9" width="10.6328125" customWidth="1"/>
    <col min="10" max="10" width="9" customWidth="1"/>
    <col min="11" max="12" width="8.81640625" customWidth="1"/>
    <col min="13" max="15" width="10.08984375" customWidth="1"/>
    <col min="16" max="16" width="8.7265625" customWidth="1"/>
    <col min="17" max="18" width="9" customWidth="1"/>
    <col min="19" max="19" width="10" bestFit="1" customWidth="1"/>
    <col min="22" max="22" width="9.54296875" bestFit="1" customWidth="1"/>
    <col min="23" max="24" width="10.1796875" customWidth="1"/>
    <col min="26" max="26" width="9.90625" customWidth="1"/>
    <col min="27" max="27" width="10.6328125" customWidth="1"/>
    <col min="28" max="28" width="9.453125" customWidth="1"/>
    <col min="29" max="29" width="10.36328125" customWidth="1"/>
  </cols>
  <sheetData>
    <row r="1" spans="1:30" ht="15.6" x14ac:dyDescent="0.3">
      <c r="A1" s="8" t="s">
        <v>0</v>
      </c>
      <c r="D1" t="s">
        <v>69</v>
      </c>
      <c r="E1" t="s">
        <v>5</v>
      </c>
    </row>
    <row r="2" spans="1:30" ht="15.6" x14ac:dyDescent="0.3">
      <c r="A2" s="8" t="s">
        <v>33</v>
      </c>
      <c r="C2" s="3">
        <f>+C3*C4</f>
        <v>413626.77117877599</v>
      </c>
      <c r="D2" s="3">
        <f>+C14/31</f>
        <v>88.516129032258064</v>
      </c>
      <c r="E2">
        <v>107</v>
      </c>
      <c r="F2" t="s">
        <v>22</v>
      </c>
      <c r="G2" s="12">
        <f>+E2-D2</f>
        <v>18.483870967741936</v>
      </c>
    </row>
    <row r="3" spans="1:30" ht="15.6" x14ac:dyDescent="0.3">
      <c r="A3" s="8">
        <v>2023</v>
      </c>
      <c r="C3" s="3">
        <v>500000</v>
      </c>
    </row>
    <row r="4" spans="1:30" ht="15.6" x14ac:dyDescent="0.3">
      <c r="A4" s="8"/>
      <c r="B4" s="18"/>
      <c r="C4" s="13">
        <f>+C14/C6</f>
        <v>0.827253542357552</v>
      </c>
      <c r="D4" s="3">
        <f>+D14/31</f>
        <v>12.64516129032258</v>
      </c>
      <c r="E4" s="18">
        <v>12</v>
      </c>
      <c r="F4" t="s">
        <v>22</v>
      </c>
      <c r="G4" s="15">
        <f>+E4-D4</f>
        <v>-0.64516129032258007</v>
      </c>
    </row>
    <row r="5" spans="1:30" ht="15.6" x14ac:dyDescent="0.3">
      <c r="A5" s="8" t="s">
        <v>32</v>
      </c>
      <c r="Q5" s="1"/>
      <c r="R5" s="1"/>
      <c r="S5" s="1"/>
      <c r="T5" s="1"/>
      <c r="U5" s="1"/>
      <c r="V5" s="1"/>
      <c r="W5" s="1"/>
      <c r="X5" s="1"/>
      <c r="Y5" s="1"/>
      <c r="Z5" s="1" t="s">
        <v>16</v>
      </c>
      <c r="AA5" s="1" t="s">
        <v>16</v>
      </c>
    </row>
    <row r="6" spans="1:30" x14ac:dyDescent="0.25">
      <c r="C6" s="3">
        <f>+E2*B14</f>
        <v>3317</v>
      </c>
      <c r="D6" s="3">
        <f>+E4*B14</f>
        <v>372</v>
      </c>
      <c r="Q6" s="1"/>
      <c r="R6" s="1"/>
      <c r="S6" s="1" t="s">
        <v>11</v>
      </c>
      <c r="T6" s="1" t="s">
        <v>11</v>
      </c>
      <c r="U6" s="1" t="s">
        <v>11</v>
      </c>
      <c r="V6" s="1" t="s">
        <v>11</v>
      </c>
      <c r="W6" s="1" t="s">
        <v>13</v>
      </c>
      <c r="X6" s="1" t="s">
        <v>13</v>
      </c>
      <c r="Y6" s="1" t="s">
        <v>15</v>
      </c>
      <c r="Z6" s="1" t="s">
        <v>13</v>
      </c>
      <c r="AA6" s="1" t="s">
        <v>15</v>
      </c>
      <c r="AB6" s="1" t="s">
        <v>33</v>
      </c>
      <c r="AC6" s="1" t="s">
        <v>35</v>
      </c>
    </row>
    <row r="7" spans="1:30" x14ac:dyDescent="0.25">
      <c r="A7" s="4" t="s">
        <v>1</v>
      </c>
      <c r="B7" s="5" t="s">
        <v>2</v>
      </c>
      <c r="C7" s="5" t="s">
        <v>29</v>
      </c>
      <c r="D7" s="5" t="s">
        <v>28</v>
      </c>
      <c r="E7" s="5" t="s">
        <v>8</v>
      </c>
      <c r="F7" s="5" t="s">
        <v>4</v>
      </c>
      <c r="G7" s="5" t="s">
        <v>5</v>
      </c>
      <c r="H7" s="5" t="s">
        <v>6</v>
      </c>
      <c r="I7" s="5" t="s">
        <v>7</v>
      </c>
      <c r="J7" s="5" t="s">
        <v>4</v>
      </c>
      <c r="K7" s="5" t="s">
        <v>5</v>
      </c>
      <c r="L7" s="5" t="s">
        <v>6</v>
      </c>
      <c r="M7" s="5" t="s">
        <v>31</v>
      </c>
      <c r="N7" s="5" t="s">
        <v>30</v>
      </c>
      <c r="O7" s="5" t="s">
        <v>9</v>
      </c>
      <c r="P7" s="5" t="s">
        <v>4</v>
      </c>
      <c r="Q7" s="5" t="s">
        <v>5</v>
      </c>
      <c r="R7" s="5" t="s">
        <v>10</v>
      </c>
      <c r="S7" s="5" t="s">
        <v>12</v>
      </c>
      <c r="T7" s="5" t="s">
        <v>4</v>
      </c>
      <c r="U7" s="5" t="s">
        <v>5</v>
      </c>
      <c r="V7" s="5" t="s">
        <v>10</v>
      </c>
      <c r="W7" s="5" t="s">
        <v>14</v>
      </c>
      <c r="X7" s="5" t="s">
        <v>9</v>
      </c>
      <c r="Y7" s="5" t="s">
        <v>11</v>
      </c>
      <c r="Z7" s="5" t="s">
        <v>8</v>
      </c>
      <c r="AA7" s="5" t="s">
        <v>9</v>
      </c>
      <c r="AB7" s="5" t="s">
        <v>34</v>
      </c>
      <c r="AC7" s="5" t="s">
        <v>36</v>
      </c>
    </row>
    <row r="8" spans="1:30" x14ac:dyDescent="0.25">
      <c r="A8" t="s">
        <v>3</v>
      </c>
      <c r="B8">
        <v>31</v>
      </c>
      <c r="C8" s="3">
        <v>2562</v>
      </c>
      <c r="D8" s="3">
        <v>516</v>
      </c>
      <c r="E8" s="3">
        <f t="shared" ref="E8:E19" si="0">+C8+D8</f>
        <v>3078</v>
      </c>
      <c r="F8" s="10">
        <f t="shared" ref="F8:F19" si="1">+E8/B8</f>
        <v>99.290322580645167</v>
      </c>
      <c r="G8" s="3">
        <v>119</v>
      </c>
      <c r="H8" s="10">
        <f>+F8-G8</f>
        <v>-19.709677419354833</v>
      </c>
      <c r="I8" s="3">
        <f>571+155+6</f>
        <v>732</v>
      </c>
      <c r="J8" s="10">
        <f>+I8/B8</f>
        <v>23.612903225806452</v>
      </c>
      <c r="K8" s="3">
        <v>28</v>
      </c>
      <c r="L8" s="10">
        <f>+J8-K8</f>
        <v>-4.387096774193548</v>
      </c>
      <c r="M8" s="3">
        <v>118</v>
      </c>
      <c r="N8" s="3">
        <v>133</v>
      </c>
      <c r="O8" s="3">
        <f t="shared" ref="O8:O19" si="2">+M8+N8</f>
        <v>251</v>
      </c>
      <c r="P8" s="10">
        <f t="shared" ref="P8:P19" si="3">+O8/B8</f>
        <v>8.0967741935483879</v>
      </c>
      <c r="Q8" s="3">
        <v>8</v>
      </c>
      <c r="R8" s="10">
        <f>+P8-Q8</f>
        <v>9.6774193548387899E-2</v>
      </c>
      <c r="S8" s="3">
        <f>+O8+I8+E8</f>
        <v>4061</v>
      </c>
      <c r="T8" s="10">
        <f>+S8/B8</f>
        <v>131</v>
      </c>
      <c r="U8" s="3">
        <f>+Q8+K8+G8</f>
        <v>155</v>
      </c>
      <c r="V8" s="10">
        <f>+T8-U8</f>
        <v>-24</v>
      </c>
      <c r="W8" s="3">
        <v>101</v>
      </c>
      <c r="X8" s="3">
        <v>22</v>
      </c>
      <c r="Y8" s="3">
        <v>146</v>
      </c>
      <c r="Z8" s="2">
        <f t="shared" ref="Z8:Z19" si="4">+W8/Y8</f>
        <v>0.69178082191780821</v>
      </c>
      <c r="AA8" s="2">
        <f>+X8/Y8</f>
        <v>0.15068493150684931</v>
      </c>
      <c r="AB8" s="9">
        <f>+T8/240</f>
        <v>0.54583333333333328</v>
      </c>
      <c r="AC8" s="9">
        <f>+S8/((240-82)*B8)</f>
        <v>0.82911392405063289</v>
      </c>
      <c r="AD8" t="s">
        <v>67</v>
      </c>
    </row>
    <row r="9" spans="1:30" x14ac:dyDescent="0.25">
      <c r="A9" t="s">
        <v>17</v>
      </c>
      <c r="B9">
        <v>28</v>
      </c>
      <c r="C9" s="3">
        <v>2348</v>
      </c>
      <c r="D9" s="3">
        <v>432</v>
      </c>
      <c r="E9" s="3">
        <f t="shared" si="0"/>
        <v>2780</v>
      </c>
      <c r="F9" s="10">
        <f t="shared" si="1"/>
        <v>99.285714285714292</v>
      </c>
      <c r="G9" s="3">
        <v>119</v>
      </c>
      <c r="H9" s="10">
        <f t="shared" ref="H9:H10" si="5">+F9-G9</f>
        <v>-19.714285714285708</v>
      </c>
      <c r="I9" s="3">
        <f>498+142+22</f>
        <v>662</v>
      </c>
      <c r="J9" s="10">
        <f t="shared" ref="J9:J10" si="6">+I9/B9</f>
        <v>23.642857142857142</v>
      </c>
      <c r="K9" s="3">
        <v>28</v>
      </c>
      <c r="L9" s="10">
        <f t="shared" ref="L9:L19" si="7">+J9-K9</f>
        <v>-4.3571428571428577</v>
      </c>
      <c r="M9" s="3">
        <v>162</v>
      </c>
      <c r="N9" s="3">
        <v>171</v>
      </c>
      <c r="O9" s="3">
        <f t="shared" si="2"/>
        <v>333</v>
      </c>
      <c r="P9" s="10">
        <f t="shared" si="3"/>
        <v>11.892857142857142</v>
      </c>
      <c r="Q9" s="3">
        <v>8</v>
      </c>
      <c r="R9" s="10">
        <f t="shared" ref="R9:R19" si="8">+P9-Q9</f>
        <v>3.8928571428571423</v>
      </c>
      <c r="S9" s="3">
        <f t="shared" ref="S9:S19" si="9">+O9+I9+E9</f>
        <v>3775</v>
      </c>
      <c r="T9" s="10">
        <f t="shared" ref="T9:T10" si="10">+S9/B9</f>
        <v>134.82142857142858</v>
      </c>
      <c r="U9" s="3">
        <f t="shared" ref="U9:U19" si="11">+Q9+K9+G9</f>
        <v>155</v>
      </c>
      <c r="V9" s="10">
        <f t="shared" ref="V9:V19" si="12">+T9-U9</f>
        <v>-20.178571428571416</v>
      </c>
      <c r="W9" s="3">
        <v>97</v>
      </c>
      <c r="X9" s="3">
        <v>25</v>
      </c>
      <c r="Y9" s="3">
        <v>146</v>
      </c>
      <c r="Z9" s="2">
        <f t="shared" si="4"/>
        <v>0.66438356164383561</v>
      </c>
      <c r="AA9" s="2">
        <f>+X9/Y9</f>
        <v>0.17123287671232876</v>
      </c>
      <c r="AB9" s="9">
        <f t="shared" ref="AB9:AB19" si="13">+T9/240</f>
        <v>0.56175595238095244</v>
      </c>
      <c r="AC9" s="9">
        <f t="shared" ref="AC9:AC19" si="14">+S9/((240-82)*B9)</f>
        <v>0.85330018083182635</v>
      </c>
    </row>
    <row r="10" spans="1:30" x14ac:dyDescent="0.25">
      <c r="A10" t="s">
        <v>18</v>
      </c>
      <c r="B10">
        <v>31</v>
      </c>
      <c r="C10" s="3">
        <v>2645</v>
      </c>
      <c r="D10" s="3">
        <f>438+16</f>
        <v>454</v>
      </c>
      <c r="E10" s="3">
        <f t="shared" si="0"/>
        <v>3099</v>
      </c>
      <c r="F10" s="10">
        <f t="shared" si="1"/>
        <v>99.967741935483872</v>
      </c>
      <c r="G10" s="3">
        <v>119</v>
      </c>
      <c r="H10" s="10">
        <f t="shared" si="5"/>
        <v>-19.032258064516128</v>
      </c>
      <c r="I10" s="3">
        <f>607+152-16+15</f>
        <v>758</v>
      </c>
      <c r="J10" s="10">
        <f t="shared" si="6"/>
        <v>24.451612903225808</v>
      </c>
      <c r="K10" s="3">
        <v>28</v>
      </c>
      <c r="L10" s="10">
        <f t="shared" si="7"/>
        <v>-3.5483870967741922</v>
      </c>
      <c r="M10" s="3">
        <v>210</v>
      </c>
      <c r="N10" s="3">
        <v>199</v>
      </c>
      <c r="O10" s="3">
        <f t="shared" si="2"/>
        <v>409</v>
      </c>
      <c r="P10" s="10">
        <f t="shared" si="3"/>
        <v>13.193548387096774</v>
      </c>
      <c r="Q10" s="3">
        <v>8</v>
      </c>
      <c r="R10" s="10">
        <f t="shared" si="8"/>
        <v>5.193548387096774</v>
      </c>
      <c r="S10" s="3">
        <f t="shared" si="9"/>
        <v>4266</v>
      </c>
      <c r="T10" s="10">
        <f t="shared" si="10"/>
        <v>137.61290322580646</v>
      </c>
      <c r="U10" s="3">
        <f t="shared" si="11"/>
        <v>155</v>
      </c>
      <c r="V10" s="10">
        <f t="shared" si="12"/>
        <v>-17.387096774193537</v>
      </c>
      <c r="W10" s="3">
        <v>104</v>
      </c>
      <c r="X10" s="3">
        <v>34</v>
      </c>
      <c r="Y10" s="3">
        <v>159</v>
      </c>
      <c r="Z10" s="2">
        <f t="shared" si="4"/>
        <v>0.65408805031446537</v>
      </c>
      <c r="AA10" s="2">
        <f>+X10/Y10</f>
        <v>0.21383647798742139</v>
      </c>
      <c r="AB10" s="9">
        <f t="shared" si="13"/>
        <v>0.57338709677419364</v>
      </c>
      <c r="AC10" s="9">
        <f t="shared" si="14"/>
        <v>0.87096774193548387</v>
      </c>
    </row>
    <row r="11" spans="1:30" x14ac:dyDescent="0.25">
      <c r="A11" t="s">
        <v>19</v>
      </c>
      <c r="B11">
        <v>30</v>
      </c>
      <c r="C11" s="3">
        <v>2542</v>
      </c>
      <c r="D11" s="3">
        <v>420</v>
      </c>
      <c r="E11" s="3">
        <f t="shared" si="0"/>
        <v>2962</v>
      </c>
      <c r="F11" s="10">
        <f t="shared" si="1"/>
        <v>98.733333333333334</v>
      </c>
      <c r="G11" s="3">
        <v>119</v>
      </c>
      <c r="H11" s="10">
        <f t="shared" ref="H11:H19" si="15">+F11-G11</f>
        <v>-20.266666666666666</v>
      </c>
      <c r="I11" s="3">
        <f>124+673+7</f>
        <v>804</v>
      </c>
      <c r="J11" s="10">
        <f t="shared" ref="J11:J18" si="16">+I11/B11</f>
        <v>26.8</v>
      </c>
      <c r="K11" s="3">
        <v>28</v>
      </c>
      <c r="L11" s="10">
        <f t="shared" si="7"/>
        <v>-1.1999999999999993</v>
      </c>
      <c r="M11" s="3">
        <v>200</v>
      </c>
      <c r="N11" s="3">
        <v>266</v>
      </c>
      <c r="O11" s="3">
        <f t="shared" si="2"/>
        <v>466</v>
      </c>
      <c r="P11" s="10">
        <f t="shared" si="3"/>
        <v>15.533333333333333</v>
      </c>
      <c r="Q11" s="3">
        <v>8</v>
      </c>
      <c r="R11" s="10">
        <f t="shared" si="8"/>
        <v>7.5333333333333332</v>
      </c>
      <c r="S11" s="3">
        <f t="shared" si="9"/>
        <v>4232</v>
      </c>
      <c r="T11" s="10">
        <f>+S11/B11</f>
        <v>141.06666666666666</v>
      </c>
      <c r="U11" s="3">
        <f t="shared" si="11"/>
        <v>155</v>
      </c>
      <c r="V11" s="10">
        <f t="shared" si="12"/>
        <v>-13.933333333333337</v>
      </c>
      <c r="W11" s="3">
        <v>98</v>
      </c>
      <c r="X11" s="3">
        <v>34</v>
      </c>
      <c r="Y11" s="3">
        <v>160</v>
      </c>
      <c r="Z11" s="2">
        <f t="shared" si="4"/>
        <v>0.61250000000000004</v>
      </c>
      <c r="AA11" s="2">
        <f>+X11/Y11</f>
        <v>0.21249999999999999</v>
      </c>
      <c r="AB11" s="9">
        <f t="shared" si="13"/>
        <v>0.58777777777777773</v>
      </c>
      <c r="AC11" s="9">
        <f t="shared" si="14"/>
        <v>0.8928270042194093</v>
      </c>
    </row>
    <row r="12" spans="1:30" x14ac:dyDescent="0.25">
      <c r="A12" t="s">
        <v>20</v>
      </c>
      <c r="B12">
        <v>31</v>
      </c>
      <c r="C12" s="3">
        <v>2634</v>
      </c>
      <c r="D12" s="3">
        <v>443</v>
      </c>
      <c r="E12" s="3">
        <f t="shared" si="0"/>
        <v>3077</v>
      </c>
      <c r="F12" s="10">
        <f>+E12/B12</f>
        <v>99.258064516129039</v>
      </c>
      <c r="G12" s="3">
        <v>119</v>
      </c>
      <c r="H12" s="10">
        <f t="shared" si="15"/>
        <v>-19.741935483870961</v>
      </c>
      <c r="I12" s="3">
        <f>592+148+12</f>
        <v>752</v>
      </c>
      <c r="J12" s="10">
        <f t="shared" si="16"/>
        <v>24.258064516129032</v>
      </c>
      <c r="K12" s="3">
        <v>28</v>
      </c>
      <c r="L12" s="10">
        <f t="shared" si="7"/>
        <v>-3.741935483870968</v>
      </c>
      <c r="M12" s="3">
        <v>187</v>
      </c>
      <c r="N12" s="3">
        <v>193</v>
      </c>
      <c r="O12" s="3">
        <f t="shared" si="2"/>
        <v>380</v>
      </c>
      <c r="P12" s="10">
        <f t="shared" si="3"/>
        <v>12.258064516129032</v>
      </c>
      <c r="Q12" s="3">
        <v>8</v>
      </c>
      <c r="R12" s="10">
        <f t="shared" si="8"/>
        <v>4.258064516129032</v>
      </c>
      <c r="S12" s="3">
        <f t="shared" si="9"/>
        <v>4209</v>
      </c>
      <c r="T12" s="10">
        <f t="shared" ref="T12:T19" si="17">+S12/B12</f>
        <v>135.7741935483871</v>
      </c>
      <c r="U12" s="3">
        <f t="shared" si="11"/>
        <v>155</v>
      </c>
      <c r="V12" s="10">
        <f t="shared" si="12"/>
        <v>-19.225806451612897</v>
      </c>
      <c r="W12" s="3">
        <v>100</v>
      </c>
      <c r="X12" s="3">
        <v>35</v>
      </c>
      <c r="Y12" s="3">
        <v>162</v>
      </c>
      <c r="Z12" s="2">
        <f t="shared" si="4"/>
        <v>0.61728395061728392</v>
      </c>
      <c r="AA12" s="2">
        <f t="shared" ref="AA12:AA19" si="18">+X12/Y12</f>
        <v>0.21604938271604937</v>
      </c>
      <c r="AB12" s="9">
        <f t="shared" si="13"/>
        <v>0.56572580645161297</v>
      </c>
      <c r="AC12" s="9">
        <f t="shared" si="14"/>
        <v>0.85933033891384236</v>
      </c>
    </row>
    <row r="13" spans="1:30" x14ac:dyDescent="0.25">
      <c r="A13" t="s">
        <v>21</v>
      </c>
      <c r="B13">
        <v>30</v>
      </c>
      <c r="C13" s="3">
        <v>2485</v>
      </c>
      <c r="D13" s="3">
        <v>397</v>
      </c>
      <c r="E13" s="3">
        <f t="shared" si="0"/>
        <v>2882</v>
      </c>
      <c r="F13" s="10">
        <f t="shared" si="1"/>
        <v>96.066666666666663</v>
      </c>
      <c r="G13" s="3">
        <v>119</v>
      </c>
      <c r="H13" s="10">
        <f t="shared" si="15"/>
        <v>-22.933333333333337</v>
      </c>
      <c r="I13" s="3">
        <f>61+561+10</f>
        <v>632</v>
      </c>
      <c r="J13" s="10">
        <f t="shared" si="16"/>
        <v>21.066666666666666</v>
      </c>
      <c r="K13" s="3">
        <v>28</v>
      </c>
      <c r="L13" s="10">
        <f t="shared" si="7"/>
        <v>-6.9333333333333336</v>
      </c>
      <c r="M13" s="3">
        <v>208</v>
      </c>
      <c r="N13" s="3">
        <v>236</v>
      </c>
      <c r="O13" s="3">
        <f t="shared" si="2"/>
        <v>444</v>
      </c>
      <c r="P13" s="10">
        <f t="shared" si="3"/>
        <v>14.8</v>
      </c>
      <c r="Q13" s="3">
        <v>8</v>
      </c>
      <c r="R13" s="10">
        <f t="shared" si="8"/>
        <v>6.8000000000000007</v>
      </c>
      <c r="S13" s="3">
        <f t="shared" si="9"/>
        <v>3958</v>
      </c>
      <c r="T13" s="10">
        <f>+S13/B13</f>
        <v>131.93333333333334</v>
      </c>
      <c r="U13" s="3">
        <f t="shared" si="11"/>
        <v>155</v>
      </c>
      <c r="V13" s="10">
        <f t="shared" si="12"/>
        <v>-23.066666666666663</v>
      </c>
      <c r="W13" s="3">
        <v>102</v>
      </c>
      <c r="X13" s="3">
        <v>40</v>
      </c>
      <c r="Y13" s="3">
        <v>160</v>
      </c>
      <c r="Z13" s="2">
        <f t="shared" si="4"/>
        <v>0.63749999999999996</v>
      </c>
      <c r="AA13" s="2">
        <f t="shared" si="18"/>
        <v>0.25</v>
      </c>
      <c r="AB13" s="9">
        <f t="shared" si="13"/>
        <v>0.54972222222222222</v>
      </c>
      <c r="AC13" s="9">
        <f t="shared" si="14"/>
        <v>0.83502109704641347</v>
      </c>
    </row>
    <row r="14" spans="1:30" x14ac:dyDescent="0.25">
      <c r="A14" t="s">
        <v>22</v>
      </c>
      <c r="B14">
        <v>31</v>
      </c>
      <c r="C14" s="3">
        <v>2744</v>
      </c>
      <c r="D14" s="3">
        <v>392</v>
      </c>
      <c r="E14" s="3">
        <f t="shared" si="0"/>
        <v>3136</v>
      </c>
      <c r="F14" s="10">
        <f t="shared" si="1"/>
        <v>101.16129032258064</v>
      </c>
      <c r="G14" s="3">
        <v>119</v>
      </c>
      <c r="H14" s="10">
        <f t="shared" si="15"/>
        <v>-17.838709677419359</v>
      </c>
      <c r="I14" s="3">
        <f>71+486+12</f>
        <v>569</v>
      </c>
      <c r="J14" s="10">
        <f t="shared" si="16"/>
        <v>18.35483870967742</v>
      </c>
      <c r="K14" s="3">
        <v>28</v>
      </c>
      <c r="L14" s="10">
        <f t="shared" si="7"/>
        <v>-9.6451612903225801</v>
      </c>
      <c r="M14" s="3">
        <v>132</v>
      </c>
      <c r="N14" s="3">
        <v>255</v>
      </c>
      <c r="O14" s="3">
        <f t="shared" si="2"/>
        <v>387</v>
      </c>
      <c r="P14" s="10">
        <f t="shared" si="3"/>
        <v>12.483870967741936</v>
      </c>
      <c r="Q14" s="3">
        <v>8</v>
      </c>
      <c r="R14" s="10">
        <f t="shared" si="8"/>
        <v>4.4838709677419359</v>
      </c>
      <c r="S14" s="3">
        <f t="shared" si="9"/>
        <v>4092</v>
      </c>
      <c r="T14" s="10">
        <f t="shared" si="17"/>
        <v>132</v>
      </c>
      <c r="U14" s="3">
        <f t="shared" si="11"/>
        <v>155</v>
      </c>
      <c r="V14" s="10">
        <f t="shared" si="12"/>
        <v>-23</v>
      </c>
      <c r="W14" s="3">
        <v>103</v>
      </c>
      <c r="X14" s="3">
        <v>37</v>
      </c>
      <c r="Y14" s="3">
        <v>160</v>
      </c>
      <c r="Z14" s="2">
        <f t="shared" si="4"/>
        <v>0.64375000000000004</v>
      </c>
      <c r="AA14" s="2">
        <f t="shared" si="18"/>
        <v>0.23125000000000001</v>
      </c>
      <c r="AB14" s="9">
        <f t="shared" si="13"/>
        <v>0.55000000000000004</v>
      </c>
      <c r="AC14" s="9">
        <f t="shared" si="14"/>
        <v>0.83544303797468356</v>
      </c>
    </row>
    <row r="15" spans="1:30" x14ac:dyDescent="0.25">
      <c r="A15" t="s">
        <v>23</v>
      </c>
      <c r="C15" s="3"/>
      <c r="D15" s="3"/>
      <c r="E15" s="3">
        <f t="shared" si="0"/>
        <v>0</v>
      </c>
      <c r="F15" s="10" t="e">
        <f t="shared" si="1"/>
        <v>#DIV/0!</v>
      </c>
      <c r="G15" s="3">
        <v>119</v>
      </c>
      <c r="H15" s="10" t="e">
        <f t="shared" si="15"/>
        <v>#DIV/0!</v>
      </c>
      <c r="I15" s="3"/>
      <c r="J15" s="10" t="e">
        <f t="shared" si="16"/>
        <v>#DIV/0!</v>
      </c>
      <c r="K15" s="3">
        <v>28</v>
      </c>
      <c r="L15" s="10" t="e">
        <f t="shared" si="7"/>
        <v>#DIV/0!</v>
      </c>
      <c r="M15" s="3"/>
      <c r="N15" s="3"/>
      <c r="O15" s="3">
        <f t="shared" si="2"/>
        <v>0</v>
      </c>
      <c r="P15" s="10" t="e">
        <f t="shared" si="3"/>
        <v>#DIV/0!</v>
      </c>
      <c r="Q15" s="3">
        <v>8</v>
      </c>
      <c r="R15" s="10" t="e">
        <f t="shared" si="8"/>
        <v>#DIV/0!</v>
      </c>
      <c r="S15" s="3">
        <f t="shared" si="9"/>
        <v>0</v>
      </c>
      <c r="T15" s="10" t="e">
        <f t="shared" si="17"/>
        <v>#DIV/0!</v>
      </c>
      <c r="U15" s="3">
        <f t="shared" si="11"/>
        <v>155</v>
      </c>
      <c r="V15" s="10" t="e">
        <f t="shared" si="12"/>
        <v>#DIV/0!</v>
      </c>
      <c r="W15" s="3"/>
      <c r="X15" s="3"/>
      <c r="Y15" s="3"/>
      <c r="Z15" s="2" t="e">
        <f t="shared" si="4"/>
        <v>#DIV/0!</v>
      </c>
      <c r="AA15" s="2" t="e">
        <f t="shared" si="18"/>
        <v>#DIV/0!</v>
      </c>
      <c r="AB15" s="9" t="e">
        <f t="shared" si="13"/>
        <v>#DIV/0!</v>
      </c>
      <c r="AC15" s="9" t="e">
        <f t="shared" si="14"/>
        <v>#DIV/0!</v>
      </c>
    </row>
    <row r="16" spans="1:30" x14ac:dyDescent="0.25">
      <c r="A16" t="s">
        <v>24</v>
      </c>
      <c r="C16" s="3"/>
      <c r="D16" s="3"/>
      <c r="E16" s="3">
        <f t="shared" si="0"/>
        <v>0</v>
      </c>
      <c r="F16" s="10" t="e">
        <f t="shared" si="1"/>
        <v>#DIV/0!</v>
      </c>
      <c r="G16" s="3">
        <v>119</v>
      </c>
      <c r="H16" s="10" t="e">
        <f t="shared" si="15"/>
        <v>#DIV/0!</v>
      </c>
      <c r="I16" s="3"/>
      <c r="J16" s="10" t="e">
        <f t="shared" si="16"/>
        <v>#DIV/0!</v>
      </c>
      <c r="K16" s="3">
        <v>28</v>
      </c>
      <c r="L16" s="10" t="e">
        <f t="shared" si="7"/>
        <v>#DIV/0!</v>
      </c>
      <c r="M16" s="3"/>
      <c r="N16" s="3"/>
      <c r="O16" s="3">
        <f t="shared" si="2"/>
        <v>0</v>
      </c>
      <c r="P16" s="10" t="e">
        <f t="shared" si="3"/>
        <v>#DIV/0!</v>
      </c>
      <c r="Q16" s="3">
        <v>8</v>
      </c>
      <c r="R16" s="10" t="e">
        <f t="shared" si="8"/>
        <v>#DIV/0!</v>
      </c>
      <c r="S16" s="3">
        <f t="shared" si="9"/>
        <v>0</v>
      </c>
      <c r="T16" s="10" t="e">
        <f t="shared" si="17"/>
        <v>#DIV/0!</v>
      </c>
      <c r="U16" s="3">
        <f t="shared" si="11"/>
        <v>155</v>
      </c>
      <c r="V16" s="10" t="e">
        <f t="shared" si="12"/>
        <v>#DIV/0!</v>
      </c>
      <c r="W16" s="3"/>
      <c r="X16" s="3"/>
      <c r="Y16" s="3"/>
      <c r="Z16" s="2" t="e">
        <f t="shared" si="4"/>
        <v>#DIV/0!</v>
      </c>
      <c r="AA16" s="2" t="e">
        <f t="shared" si="18"/>
        <v>#DIV/0!</v>
      </c>
      <c r="AB16" s="9" t="e">
        <f t="shared" si="13"/>
        <v>#DIV/0!</v>
      </c>
      <c r="AC16" s="9" t="e">
        <f t="shared" si="14"/>
        <v>#DIV/0!</v>
      </c>
    </row>
    <row r="17" spans="1:29" x14ac:dyDescent="0.25">
      <c r="A17" t="s">
        <v>25</v>
      </c>
      <c r="C17" s="3"/>
      <c r="D17" s="3"/>
      <c r="E17" s="3">
        <f t="shared" si="0"/>
        <v>0</v>
      </c>
      <c r="F17" s="10" t="e">
        <f t="shared" si="1"/>
        <v>#DIV/0!</v>
      </c>
      <c r="G17" s="3">
        <v>119</v>
      </c>
      <c r="H17" s="10" t="e">
        <f t="shared" si="15"/>
        <v>#DIV/0!</v>
      </c>
      <c r="I17" s="3"/>
      <c r="J17" s="10" t="e">
        <f t="shared" si="16"/>
        <v>#DIV/0!</v>
      </c>
      <c r="K17" s="3">
        <v>28</v>
      </c>
      <c r="L17" s="10" t="e">
        <f t="shared" si="7"/>
        <v>#DIV/0!</v>
      </c>
      <c r="M17" s="3"/>
      <c r="N17" s="3"/>
      <c r="O17" s="3">
        <f t="shared" si="2"/>
        <v>0</v>
      </c>
      <c r="P17" s="10" t="e">
        <f t="shared" si="3"/>
        <v>#DIV/0!</v>
      </c>
      <c r="Q17" s="3">
        <v>8</v>
      </c>
      <c r="R17" s="10" t="e">
        <f t="shared" si="8"/>
        <v>#DIV/0!</v>
      </c>
      <c r="S17" s="3">
        <f t="shared" si="9"/>
        <v>0</v>
      </c>
      <c r="T17" s="10" t="e">
        <f t="shared" si="17"/>
        <v>#DIV/0!</v>
      </c>
      <c r="U17" s="3">
        <f t="shared" si="11"/>
        <v>155</v>
      </c>
      <c r="V17" s="10" t="e">
        <f t="shared" si="12"/>
        <v>#DIV/0!</v>
      </c>
      <c r="W17" s="3"/>
      <c r="X17" s="3"/>
      <c r="Y17" s="3"/>
      <c r="Z17" s="2" t="e">
        <f t="shared" si="4"/>
        <v>#DIV/0!</v>
      </c>
      <c r="AA17" s="2" t="e">
        <f t="shared" si="18"/>
        <v>#DIV/0!</v>
      </c>
      <c r="AB17" s="9" t="e">
        <f t="shared" si="13"/>
        <v>#DIV/0!</v>
      </c>
      <c r="AC17" s="9" t="e">
        <f t="shared" si="14"/>
        <v>#DIV/0!</v>
      </c>
    </row>
    <row r="18" spans="1:29" x14ac:dyDescent="0.25">
      <c r="A18" t="s">
        <v>26</v>
      </c>
      <c r="C18" s="3"/>
      <c r="D18" s="3"/>
      <c r="E18" s="3">
        <f t="shared" si="0"/>
        <v>0</v>
      </c>
      <c r="F18" s="10" t="e">
        <f t="shared" si="1"/>
        <v>#DIV/0!</v>
      </c>
      <c r="G18" s="3">
        <v>119</v>
      </c>
      <c r="H18" s="10" t="e">
        <f t="shared" si="15"/>
        <v>#DIV/0!</v>
      </c>
      <c r="I18" s="3"/>
      <c r="J18" s="10" t="e">
        <f t="shared" si="16"/>
        <v>#DIV/0!</v>
      </c>
      <c r="K18" s="3">
        <v>28</v>
      </c>
      <c r="L18" s="10" t="e">
        <f t="shared" si="7"/>
        <v>#DIV/0!</v>
      </c>
      <c r="M18" s="3"/>
      <c r="N18" s="3"/>
      <c r="O18" s="3">
        <f t="shared" si="2"/>
        <v>0</v>
      </c>
      <c r="P18" s="10" t="e">
        <f t="shared" si="3"/>
        <v>#DIV/0!</v>
      </c>
      <c r="Q18" s="3">
        <v>8</v>
      </c>
      <c r="R18" s="10" t="e">
        <f t="shared" si="8"/>
        <v>#DIV/0!</v>
      </c>
      <c r="S18" s="3">
        <f t="shared" si="9"/>
        <v>0</v>
      </c>
      <c r="T18" s="10" t="e">
        <f t="shared" si="17"/>
        <v>#DIV/0!</v>
      </c>
      <c r="U18" s="3">
        <f t="shared" si="11"/>
        <v>155</v>
      </c>
      <c r="V18" s="10" t="e">
        <f t="shared" si="12"/>
        <v>#DIV/0!</v>
      </c>
      <c r="W18" s="3"/>
      <c r="X18" s="3"/>
      <c r="Y18" s="3"/>
      <c r="Z18" s="2" t="e">
        <f t="shared" si="4"/>
        <v>#DIV/0!</v>
      </c>
      <c r="AA18" s="2" t="e">
        <f t="shared" si="18"/>
        <v>#DIV/0!</v>
      </c>
      <c r="AB18" s="9" t="e">
        <f t="shared" si="13"/>
        <v>#DIV/0!</v>
      </c>
      <c r="AC18" s="9" t="e">
        <f t="shared" si="14"/>
        <v>#DIV/0!</v>
      </c>
    </row>
    <row r="19" spans="1:29" x14ac:dyDescent="0.25">
      <c r="A19" t="s">
        <v>27</v>
      </c>
      <c r="B19" s="4"/>
      <c r="C19" s="6"/>
      <c r="D19" s="6"/>
      <c r="E19" s="6">
        <f t="shared" si="0"/>
        <v>0</v>
      </c>
      <c r="F19" s="11" t="e">
        <f t="shared" si="1"/>
        <v>#DIV/0!</v>
      </c>
      <c r="G19" s="6">
        <v>119</v>
      </c>
      <c r="H19" s="11" t="e">
        <f t="shared" si="15"/>
        <v>#DIV/0!</v>
      </c>
      <c r="I19" s="6"/>
      <c r="J19" s="11" t="e">
        <f>+I19/B19</f>
        <v>#DIV/0!</v>
      </c>
      <c r="K19" s="6">
        <v>28</v>
      </c>
      <c r="L19" s="11" t="e">
        <f t="shared" si="7"/>
        <v>#DIV/0!</v>
      </c>
      <c r="M19" s="6"/>
      <c r="N19" s="6"/>
      <c r="O19" s="6">
        <f t="shared" si="2"/>
        <v>0</v>
      </c>
      <c r="P19" s="11" t="e">
        <f t="shared" si="3"/>
        <v>#DIV/0!</v>
      </c>
      <c r="Q19" s="6">
        <v>8</v>
      </c>
      <c r="R19" s="10" t="e">
        <f t="shared" si="8"/>
        <v>#DIV/0!</v>
      </c>
      <c r="S19" s="6">
        <f t="shared" si="9"/>
        <v>0</v>
      </c>
      <c r="T19" s="11" t="e">
        <f t="shared" si="17"/>
        <v>#DIV/0!</v>
      </c>
      <c r="U19" s="6">
        <f t="shared" si="11"/>
        <v>155</v>
      </c>
      <c r="V19" s="11" t="e">
        <f t="shared" si="12"/>
        <v>#DIV/0!</v>
      </c>
      <c r="W19" s="6"/>
      <c r="X19" s="6"/>
      <c r="Y19" s="6"/>
      <c r="Z19" s="7" t="e">
        <f t="shared" si="4"/>
        <v>#DIV/0!</v>
      </c>
      <c r="AA19" s="2" t="e">
        <f t="shared" si="18"/>
        <v>#DIV/0!</v>
      </c>
      <c r="AB19" s="9" t="e">
        <f t="shared" si="13"/>
        <v>#DIV/0!</v>
      </c>
      <c r="AC19" s="9" t="e">
        <f t="shared" si="14"/>
        <v>#DIV/0!</v>
      </c>
    </row>
    <row r="20" spans="1:29" x14ac:dyDescent="0.25">
      <c r="A20" t="s">
        <v>11</v>
      </c>
      <c r="B20">
        <f>SUM(B8:B19)</f>
        <v>212</v>
      </c>
      <c r="C20" s="3">
        <f t="shared" ref="C20:S20" si="19">SUM(C8:C19)</f>
        <v>17960</v>
      </c>
      <c r="D20" s="3">
        <f>SUM(D8:D19)</f>
        <v>3054</v>
      </c>
      <c r="E20" s="3">
        <f>SUM(E8:E19)</f>
        <v>21014</v>
      </c>
      <c r="F20" s="10">
        <f>+E20/B20</f>
        <v>99.122641509433961</v>
      </c>
      <c r="G20" s="3">
        <v>119</v>
      </c>
      <c r="H20" s="10">
        <f>+F20-G20</f>
        <v>-19.877358490566039</v>
      </c>
      <c r="I20" s="3">
        <f t="shared" si="19"/>
        <v>4909</v>
      </c>
      <c r="J20" s="10">
        <f>+I20/B20</f>
        <v>23.15566037735849</v>
      </c>
      <c r="K20" s="3">
        <v>28</v>
      </c>
      <c r="L20" s="10">
        <f>+J20-K20</f>
        <v>-4.8443396226415096</v>
      </c>
      <c r="M20" s="3">
        <f t="shared" si="19"/>
        <v>1217</v>
      </c>
      <c r="N20" s="3">
        <f t="shared" si="19"/>
        <v>1453</v>
      </c>
      <c r="O20" s="3">
        <f t="shared" si="19"/>
        <v>2670</v>
      </c>
      <c r="P20" s="10">
        <f>+O20/B20</f>
        <v>12.59433962264151</v>
      </c>
      <c r="Q20" s="3">
        <v>8</v>
      </c>
      <c r="R20" s="10">
        <f>+P20-Q20</f>
        <v>4.5943396226415096</v>
      </c>
      <c r="S20" s="3">
        <f t="shared" si="19"/>
        <v>28593</v>
      </c>
      <c r="T20" s="10">
        <f>+S20/B20</f>
        <v>134.87264150943398</v>
      </c>
      <c r="U20" s="3">
        <f>+Q20+K20+G20</f>
        <v>155</v>
      </c>
      <c r="V20" s="10">
        <f>+T20-U20</f>
        <v>-20.127358490566024</v>
      </c>
      <c r="W20" s="3"/>
      <c r="X20" s="3"/>
      <c r="Y20" s="3"/>
      <c r="Z20" s="2"/>
      <c r="AA20" s="2"/>
      <c r="AB20" s="9">
        <f>+S20/(B20*240)</f>
        <v>0.56196933962264151</v>
      </c>
      <c r="AC20" s="9">
        <f>+S20/((240-82)*B20)</f>
        <v>0.85362431335084787</v>
      </c>
    </row>
    <row r="21" spans="1:29" hidden="1" x14ac:dyDescent="0.25">
      <c r="A21" t="s">
        <v>37</v>
      </c>
      <c r="C21" s="3"/>
      <c r="D21" s="3"/>
      <c r="E21" s="12">
        <f>+C21+D21</f>
        <v>0</v>
      </c>
      <c r="F21" s="10">
        <f>+E21/365</f>
        <v>0</v>
      </c>
      <c r="G21" s="3">
        <v>101</v>
      </c>
      <c r="H21" s="10">
        <f>+F21-G21</f>
        <v>-101</v>
      </c>
      <c r="I21" s="3"/>
      <c r="J21" s="10">
        <f>+I21/365</f>
        <v>0</v>
      </c>
      <c r="K21" s="3">
        <v>28</v>
      </c>
      <c r="L21" s="10">
        <f>+J21-K21</f>
        <v>-28</v>
      </c>
      <c r="M21" s="3"/>
      <c r="N21" s="3"/>
      <c r="O21" s="12">
        <f>+M21+N21</f>
        <v>0</v>
      </c>
      <c r="P21" s="10">
        <f>+O21/365</f>
        <v>0</v>
      </c>
      <c r="Q21" s="3">
        <v>22</v>
      </c>
      <c r="R21" s="10">
        <f>+P21-Q21</f>
        <v>-22</v>
      </c>
      <c r="S21" s="12">
        <f>+E21+I21+O21</f>
        <v>0</v>
      </c>
      <c r="T21" s="10">
        <f>+S21/365</f>
        <v>0</v>
      </c>
      <c r="U21" s="3">
        <f>+Q21+K21+G21</f>
        <v>151</v>
      </c>
      <c r="V21" s="10">
        <f>+T21-U21</f>
        <v>-151</v>
      </c>
      <c r="W21" s="3"/>
      <c r="X21" s="3"/>
      <c r="Y21" s="3"/>
      <c r="Z21" s="2" t="e">
        <f>+W21/Y21</f>
        <v>#DIV/0!</v>
      </c>
      <c r="AA21" s="2" t="e">
        <f>+X21/Y21</f>
        <v>#DIV/0!</v>
      </c>
      <c r="AB21" s="9" t="e">
        <f>+S21/(B21*240)</f>
        <v>#DIV/0!</v>
      </c>
      <c r="AC21" s="9" t="e">
        <f t="shared" ref="AC21" si="20">+S21/(+B21*(240-24))</f>
        <v>#DIV/0!</v>
      </c>
    </row>
    <row r="22" spans="1:29" hidden="1" x14ac:dyDescent="0.25">
      <c r="A22" t="s">
        <v>38</v>
      </c>
      <c r="C22" s="3">
        <f>+C20-C21</f>
        <v>17960</v>
      </c>
      <c r="D22" s="12">
        <f>+D20-D21</f>
        <v>3054</v>
      </c>
      <c r="I22" s="3">
        <f>+I20-I21</f>
        <v>4909</v>
      </c>
      <c r="M22" s="3">
        <f>+M20-M21</f>
        <v>1217</v>
      </c>
      <c r="N22" s="3">
        <f>+N20-N21</f>
        <v>1453</v>
      </c>
      <c r="O22" s="12">
        <f>+M22+N22</f>
        <v>2670</v>
      </c>
      <c r="S22" s="14">
        <v>0</v>
      </c>
    </row>
    <row r="23" spans="1:29" x14ac:dyDescent="0.25">
      <c r="D23">
        <f>+D20/B20</f>
        <v>14.40566037735849</v>
      </c>
      <c r="E23" s="13">
        <f>+E20/S20</f>
        <v>0.73493512398139405</v>
      </c>
    </row>
    <row r="24" spans="1:29" x14ac:dyDescent="0.25">
      <c r="B24" t="s">
        <v>70</v>
      </c>
      <c r="C24" s="14">
        <f>+C39/B39</f>
        <v>21.028301886792452</v>
      </c>
      <c r="D24" s="14">
        <f>+D39/B39</f>
        <v>12.981132075471699</v>
      </c>
      <c r="E24" s="14">
        <f>+E39/B39</f>
        <v>18.863207547169811</v>
      </c>
    </row>
    <row r="25" spans="1:29" ht="15.6" x14ac:dyDescent="0.3">
      <c r="A25" s="8" t="s">
        <v>39</v>
      </c>
      <c r="C25">
        <v>24</v>
      </c>
      <c r="D25">
        <v>26</v>
      </c>
      <c r="E25" s="12">
        <v>28</v>
      </c>
      <c r="F25">
        <v>3</v>
      </c>
      <c r="S25" s="12"/>
      <c r="AB25" s="13"/>
      <c r="AC25" s="13"/>
    </row>
    <row r="26" spans="1:29" x14ac:dyDescent="0.25">
      <c r="B26" s="5" t="s">
        <v>2</v>
      </c>
      <c r="C26" s="5" t="s">
        <v>40</v>
      </c>
      <c r="D26" s="5" t="s">
        <v>41</v>
      </c>
      <c r="E26" s="5" t="s">
        <v>42</v>
      </c>
      <c r="F26" s="5" t="s">
        <v>43</v>
      </c>
    </row>
    <row r="27" spans="1:29" x14ac:dyDescent="0.25">
      <c r="A27" t="s">
        <v>3</v>
      </c>
      <c r="B27">
        <f>+B8</f>
        <v>31</v>
      </c>
      <c r="C27" s="3">
        <v>632</v>
      </c>
      <c r="D27" s="3">
        <v>457</v>
      </c>
      <c r="E27">
        <v>495</v>
      </c>
      <c r="F27">
        <v>93</v>
      </c>
      <c r="G27" s="12"/>
      <c r="H27" s="10"/>
      <c r="S27" s="12">
        <f>+F27+E27+D27+C27</f>
        <v>1677</v>
      </c>
      <c r="T27" s="10">
        <f>+S27/B27</f>
        <v>54.096774193548384</v>
      </c>
      <c r="AB27">
        <f>+T27/81</f>
        <v>0.66786140979689368</v>
      </c>
    </row>
    <row r="28" spans="1:29" x14ac:dyDescent="0.25">
      <c r="A28" t="s">
        <v>17</v>
      </c>
      <c r="B28">
        <f>+B9</f>
        <v>28</v>
      </c>
      <c r="C28" s="3">
        <v>565</v>
      </c>
      <c r="D28" s="3">
        <v>391</v>
      </c>
      <c r="E28">
        <v>461</v>
      </c>
      <c r="F28">
        <v>84</v>
      </c>
      <c r="S28" s="12">
        <f t="shared" ref="S28:S38" si="21">+F28+E28+D28+C28</f>
        <v>1501</v>
      </c>
      <c r="T28" s="10">
        <f t="shared" ref="T28:T38" si="22">+S28/B28</f>
        <v>53.607142857142854</v>
      </c>
    </row>
    <row r="29" spans="1:29" x14ac:dyDescent="0.25">
      <c r="A29" t="s">
        <v>18</v>
      </c>
      <c r="B29">
        <f t="shared" ref="B29:B38" si="23">+B10</f>
        <v>31</v>
      </c>
      <c r="C29" s="3">
        <v>654</v>
      </c>
      <c r="D29" s="3">
        <v>382</v>
      </c>
      <c r="E29">
        <v>525</v>
      </c>
      <c r="F29">
        <v>93</v>
      </c>
      <c r="S29" s="12">
        <f t="shared" si="21"/>
        <v>1654</v>
      </c>
      <c r="T29" s="10">
        <f t="shared" si="22"/>
        <v>53.354838709677416</v>
      </c>
    </row>
    <row r="30" spans="1:29" x14ac:dyDescent="0.25">
      <c r="A30" t="s">
        <v>19</v>
      </c>
      <c r="B30">
        <f t="shared" si="23"/>
        <v>30</v>
      </c>
      <c r="C30" s="3">
        <v>646</v>
      </c>
      <c r="D30" s="3">
        <v>360</v>
      </c>
      <c r="E30">
        <v>520</v>
      </c>
      <c r="F30">
        <v>85</v>
      </c>
      <c r="S30" s="12">
        <f t="shared" si="21"/>
        <v>1611</v>
      </c>
      <c r="T30" s="10">
        <f t="shared" si="22"/>
        <v>53.7</v>
      </c>
    </row>
    <row r="31" spans="1:29" x14ac:dyDescent="0.25">
      <c r="A31" t="s">
        <v>20</v>
      </c>
      <c r="B31">
        <f t="shared" si="23"/>
        <v>31</v>
      </c>
      <c r="C31" s="3">
        <v>659</v>
      </c>
      <c r="D31" s="3">
        <v>380</v>
      </c>
      <c r="E31">
        <v>612</v>
      </c>
      <c r="F31">
        <v>33</v>
      </c>
      <c r="S31" s="12">
        <f t="shared" si="21"/>
        <v>1684</v>
      </c>
      <c r="T31" s="10">
        <f t="shared" si="22"/>
        <v>54.322580645161288</v>
      </c>
    </row>
    <row r="32" spans="1:29" x14ac:dyDescent="0.25">
      <c r="A32" t="s">
        <v>21</v>
      </c>
      <c r="B32">
        <f t="shared" si="23"/>
        <v>30</v>
      </c>
      <c r="C32" s="3">
        <v>653</v>
      </c>
      <c r="D32" s="3">
        <v>402</v>
      </c>
      <c r="E32">
        <v>668</v>
      </c>
      <c r="F32">
        <v>30</v>
      </c>
      <c r="S32" s="12">
        <f t="shared" si="21"/>
        <v>1753</v>
      </c>
      <c r="T32" s="10">
        <f t="shared" si="22"/>
        <v>58.43333333333333</v>
      </c>
    </row>
    <row r="33" spans="1:23" x14ac:dyDescent="0.25">
      <c r="A33" t="s">
        <v>22</v>
      </c>
      <c r="B33">
        <f t="shared" si="23"/>
        <v>31</v>
      </c>
      <c r="C33" s="3">
        <v>649</v>
      </c>
      <c r="D33" s="3">
        <v>380</v>
      </c>
      <c r="E33">
        <v>718</v>
      </c>
      <c r="F33">
        <v>28</v>
      </c>
      <c r="S33" s="12">
        <f>+F33+E33+D33+C33</f>
        <v>1775</v>
      </c>
      <c r="T33" s="10">
        <f t="shared" si="22"/>
        <v>57.258064516129032</v>
      </c>
    </row>
    <row r="34" spans="1:23" x14ac:dyDescent="0.25">
      <c r="A34" t="s">
        <v>23</v>
      </c>
      <c r="B34">
        <f t="shared" si="23"/>
        <v>0</v>
      </c>
      <c r="C34" s="3"/>
      <c r="D34" s="3"/>
      <c r="S34" s="12">
        <f t="shared" si="21"/>
        <v>0</v>
      </c>
      <c r="T34" s="10" t="e">
        <f t="shared" si="22"/>
        <v>#DIV/0!</v>
      </c>
    </row>
    <row r="35" spans="1:23" x14ac:dyDescent="0.25">
      <c r="A35" t="s">
        <v>24</v>
      </c>
      <c r="B35">
        <f t="shared" si="23"/>
        <v>0</v>
      </c>
      <c r="C35" s="3"/>
      <c r="D35" s="3"/>
      <c r="S35" s="12">
        <f>+F35+E35+D35+C35</f>
        <v>0</v>
      </c>
      <c r="T35" s="10" t="e">
        <f t="shared" si="22"/>
        <v>#DIV/0!</v>
      </c>
    </row>
    <row r="36" spans="1:23" x14ac:dyDescent="0.25">
      <c r="A36" t="s">
        <v>25</v>
      </c>
      <c r="B36">
        <f t="shared" si="23"/>
        <v>0</v>
      </c>
      <c r="C36" s="3"/>
      <c r="D36" s="3"/>
      <c r="S36" s="12">
        <f t="shared" si="21"/>
        <v>0</v>
      </c>
      <c r="T36" s="10" t="e">
        <f t="shared" si="22"/>
        <v>#DIV/0!</v>
      </c>
    </row>
    <row r="37" spans="1:23" x14ac:dyDescent="0.25">
      <c r="A37" t="s">
        <v>26</v>
      </c>
      <c r="B37">
        <f t="shared" si="23"/>
        <v>0</v>
      </c>
      <c r="C37" s="3"/>
      <c r="D37" s="3"/>
      <c r="S37" s="12">
        <f t="shared" si="21"/>
        <v>0</v>
      </c>
      <c r="T37" s="10" t="e">
        <f t="shared" si="22"/>
        <v>#DIV/0!</v>
      </c>
    </row>
    <row r="38" spans="1:23" x14ac:dyDescent="0.25">
      <c r="A38" t="s">
        <v>27</v>
      </c>
      <c r="B38" s="4">
        <f t="shared" si="23"/>
        <v>0</v>
      </c>
      <c r="C38" s="6"/>
      <c r="D38" s="6"/>
      <c r="E38" s="4"/>
      <c r="F38" s="4"/>
      <c r="S38" s="16">
        <f t="shared" si="21"/>
        <v>0</v>
      </c>
      <c r="T38" s="11" t="e">
        <f t="shared" si="22"/>
        <v>#DIV/0!</v>
      </c>
    </row>
    <row r="39" spans="1:23" x14ac:dyDescent="0.25">
      <c r="A39" t="s">
        <v>11</v>
      </c>
      <c r="B39">
        <f>SUM(B27:B38)</f>
        <v>212</v>
      </c>
      <c r="C39" s="3">
        <f t="shared" ref="C39" si="24">SUM(C27:C38)</f>
        <v>4458</v>
      </c>
      <c r="D39" s="3">
        <f>SUM(D27:D38)</f>
        <v>2752</v>
      </c>
      <c r="E39" s="3">
        <f t="shared" ref="E39:F39" si="25">SUM(E27:E38)</f>
        <v>3999</v>
      </c>
      <c r="F39" s="3">
        <f t="shared" si="25"/>
        <v>446</v>
      </c>
      <c r="S39" s="12">
        <f>SUM(S27:S38)</f>
        <v>11655</v>
      </c>
      <c r="T39" s="17">
        <f>+S39/B39</f>
        <v>54.976415094339622</v>
      </c>
    </row>
    <row r="41" spans="1:23" ht="15.6" x14ac:dyDescent="0.3">
      <c r="A41" s="8" t="s">
        <v>44</v>
      </c>
      <c r="S41" s="12"/>
    </row>
    <row r="42" spans="1:23" x14ac:dyDescent="0.25">
      <c r="T42" s="15"/>
      <c r="U42" s="5" t="s">
        <v>46</v>
      </c>
      <c r="V42" s="5" t="s">
        <v>47</v>
      </c>
      <c r="W42" s="5" t="s">
        <v>39</v>
      </c>
    </row>
    <row r="43" spans="1:23" x14ac:dyDescent="0.25">
      <c r="A43" t="s">
        <v>3</v>
      </c>
      <c r="B43">
        <f>+B27</f>
        <v>31</v>
      </c>
      <c r="S43" s="12">
        <f t="shared" ref="S43:S48" si="26">+S8+S27</f>
        <v>5738</v>
      </c>
      <c r="T43" s="10">
        <f t="shared" ref="T43:T47" si="27">+S43/B43</f>
        <v>185.09677419354838</v>
      </c>
    </row>
    <row r="44" spans="1:23" x14ac:dyDescent="0.25">
      <c r="A44" t="s">
        <v>17</v>
      </c>
      <c r="B44">
        <f t="shared" ref="B44:B54" si="28">+B28</f>
        <v>28</v>
      </c>
      <c r="S44" s="12">
        <f t="shared" si="26"/>
        <v>5276</v>
      </c>
      <c r="T44" s="10">
        <f t="shared" si="27"/>
        <v>188.42857142857142</v>
      </c>
    </row>
    <row r="45" spans="1:23" x14ac:dyDescent="0.25">
      <c r="A45" t="s">
        <v>18</v>
      </c>
      <c r="B45">
        <f t="shared" si="28"/>
        <v>31</v>
      </c>
      <c r="S45" s="12">
        <f t="shared" si="26"/>
        <v>5920</v>
      </c>
      <c r="T45" s="10">
        <f t="shared" si="27"/>
        <v>190.96774193548387</v>
      </c>
      <c r="U45" s="10">
        <f>(+S45+S44+S43)/(+B45+B44+B43)</f>
        <v>188.15555555555557</v>
      </c>
      <c r="V45" s="10">
        <f>(+S8+S9+S10)/(+B45+B44+B43)</f>
        <v>134.46666666666667</v>
      </c>
      <c r="W45" s="10">
        <f>(+S27+S28+S29)/(+B45+B44+B43)</f>
        <v>53.68888888888889</v>
      </c>
    </row>
    <row r="46" spans="1:23" x14ac:dyDescent="0.25">
      <c r="A46" t="s">
        <v>19</v>
      </c>
      <c r="B46">
        <f t="shared" si="28"/>
        <v>30</v>
      </c>
      <c r="S46" s="12">
        <f t="shared" si="26"/>
        <v>5843</v>
      </c>
      <c r="T46" s="10">
        <f t="shared" si="27"/>
        <v>194.76666666666668</v>
      </c>
      <c r="U46" s="10"/>
      <c r="V46" s="10"/>
      <c r="W46" s="10"/>
    </row>
    <row r="47" spans="1:23" x14ac:dyDescent="0.25">
      <c r="A47" t="s">
        <v>20</v>
      </c>
      <c r="B47">
        <f t="shared" si="28"/>
        <v>31</v>
      </c>
      <c r="S47" s="12">
        <f t="shared" si="26"/>
        <v>5893</v>
      </c>
      <c r="T47" s="10">
        <f t="shared" si="27"/>
        <v>190.09677419354838</v>
      </c>
      <c r="U47" s="10"/>
      <c r="V47" s="10"/>
      <c r="W47" s="10"/>
    </row>
    <row r="48" spans="1:23" x14ac:dyDescent="0.25">
      <c r="A48" t="s">
        <v>21</v>
      </c>
      <c r="B48">
        <f t="shared" si="28"/>
        <v>30</v>
      </c>
      <c r="S48" s="12">
        <f t="shared" si="26"/>
        <v>5711</v>
      </c>
      <c r="T48" s="10">
        <f t="shared" ref="T48:T54" si="29">+S48/B48</f>
        <v>190.36666666666667</v>
      </c>
      <c r="U48" s="10">
        <f t="shared" ref="U48" si="30">(+S48+S47+S46)/(+B48+B47+B46)</f>
        <v>191.72527472527472</v>
      </c>
      <c r="V48" s="10">
        <f>(+S11+S12+S13)/(+B48+B47+B46)</f>
        <v>136.25274725274724</v>
      </c>
      <c r="W48" s="10">
        <f>(+S30+S31+S32)/(+B48+B47+B46)</f>
        <v>55.472527472527474</v>
      </c>
    </row>
    <row r="49" spans="1:23" x14ac:dyDescent="0.25">
      <c r="A49" t="s">
        <v>22</v>
      </c>
      <c r="B49">
        <f t="shared" si="28"/>
        <v>31</v>
      </c>
      <c r="S49" s="12">
        <f t="shared" ref="S49:S54" si="31">+S14+S33</f>
        <v>5867</v>
      </c>
      <c r="T49" s="10">
        <f t="shared" si="29"/>
        <v>189.25806451612902</v>
      </c>
    </row>
    <row r="50" spans="1:23" x14ac:dyDescent="0.25">
      <c r="A50" t="s">
        <v>23</v>
      </c>
      <c r="B50">
        <f t="shared" si="28"/>
        <v>0</v>
      </c>
      <c r="S50" s="12">
        <f t="shared" si="31"/>
        <v>0</v>
      </c>
      <c r="T50" s="10" t="e">
        <f t="shared" si="29"/>
        <v>#DIV/0!</v>
      </c>
    </row>
    <row r="51" spans="1:23" x14ac:dyDescent="0.25">
      <c r="A51" t="s">
        <v>24</v>
      </c>
      <c r="B51">
        <f t="shared" si="28"/>
        <v>0</v>
      </c>
      <c r="S51" s="12">
        <f t="shared" si="31"/>
        <v>0</v>
      </c>
      <c r="T51" s="10" t="e">
        <f t="shared" si="29"/>
        <v>#DIV/0!</v>
      </c>
      <c r="U51" s="10">
        <f>(+S51+S50+S49)/(+B51+B50+B49)</f>
        <v>189.25806451612902</v>
      </c>
      <c r="V51" s="10">
        <f>(+S14+S15+S16)/(+B51+B50+B49)</f>
        <v>132</v>
      </c>
      <c r="W51" s="10">
        <f>(+S33+S34+S35)/(+B51+B50+B49)</f>
        <v>57.258064516129032</v>
      </c>
    </row>
    <row r="52" spans="1:23" x14ac:dyDescent="0.25">
      <c r="A52" t="s">
        <v>25</v>
      </c>
      <c r="B52">
        <f t="shared" si="28"/>
        <v>0</v>
      </c>
      <c r="S52" s="12">
        <f t="shared" si="31"/>
        <v>0</v>
      </c>
      <c r="T52" s="10" t="e">
        <f t="shared" si="29"/>
        <v>#DIV/0!</v>
      </c>
      <c r="U52" s="10"/>
      <c r="V52" s="10"/>
      <c r="W52" s="10"/>
    </row>
    <row r="53" spans="1:23" x14ac:dyDescent="0.25">
      <c r="A53" t="s">
        <v>26</v>
      </c>
      <c r="B53">
        <f t="shared" si="28"/>
        <v>0</v>
      </c>
      <c r="S53" s="12">
        <f t="shared" si="31"/>
        <v>0</v>
      </c>
      <c r="T53" s="10" t="e">
        <f t="shared" si="29"/>
        <v>#DIV/0!</v>
      </c>
      <c r="U53" s="10"/>
      <c r="V53" s="10"/>
      <c r="W53" s="10"/>
    </row>
    <row r="54" spans="1:23" x14ac:dyDescent="0.25">
      <c r="A54" t="s">
        <v>27</v>
      </c>
      <c r="B54" s="4">
        <f t="shared" si="28"/>
        <v>0</v>
      </c>
      <c r="S54" s="16">
        <f t="shared" si="31"/>
        <v>0</v>
      </c>
      <c r="T54" s="11" t="e">
        <f t="shared" si="29"/>
        <v>#DIV/0!</v>
      </c>
      <c r="U54" s="11" t="e">
        <f t="shared" ref="U54:U55" si="32">(+S54+S53+S52)/(+B54+B53+B52)</f>
        <v>#DIV/0!</v>
      </c>
      <c r="V54" s="11" t="e">
        <f t="shared" ref="V54" si="33">(+S17+S18+S19)/(+B54+B53+B52)</f>
        <v>#DIV/0!</v>
      </c>
      <c r="W54" s="11" t="e">
        <f t="shared" ref="W54" si="34">(+S36+S37+S38)/(+B54+B53+B52)</f>
        <v>#DIV/0!</v>
      </c>
    </row>
    <row r="55" spans="1:23" x14ac:dyDescent="0.25">
      <c r="B55">
        <f>SUM(B43:B54)</f>
        <v>212</v>
      </c>
      <c r="R55" t="s">
        <v>48</v>
      </c>
      <c r="S55" s="12">
        <f>SUM(S43:S54)</f>
        <v>40248</v>
      </c>
      <c r="T55" s="10">
        <f>+S55/B55</f>
        <v>189.84905660377359</v>
      </c>
      <c r="U55" s="10">
        <f t="shared" si="32"/>
        <v>189.84905660377359</v>
      </c>
      <c r="V55" s="10">
        <f>+S20/B20</f>
        <v>134.87264150943398</v>
      </c>
      <c r="W55" s="10">
        <f>+S39/B39</f>
        <v>54.976415094339622</v>
      </c>
    </row>
    <row r="57" spans="1:23" x14ac:dyDescent="0.25">
      <c r="A57" t="s">
        <v>66</v>
      </c>
      <c r="F57" s="1" t="s">
        <v>50</v>
      </c>
    </row>
    <row r="58" spans="1:23" x14ac:dyDescent="0.25">
      <c r="F58" s="1" t="s">
        <v>51</v>
      </c>
    </row>
    <row r="59" spans="1:23" x14ac:dyDescent="0.25">
      <c r="A59" s="5" t="s">
        <v>59</v>
      </c>
      <c r="B59" s="5" t="s">
        <v>57</v>
      </c>
      <c r="C59" s="5" t="s">
        <v>58</v>
      </c>
      <c r="D59" s="4" t="s">
        <v>56</v>
      </c>
      <c r="E59" s="5" t="s">
        <v>2</v>
      </c>
      <c r="F59" s="5" t="s">
        <v>52</v>
      </c>
    </row>
    <row r="60" spans="1:23" x14ac:dyDescent="0.25">
      <c r="A60">
        <v>240</v>
      </c>
      <c r="B60">
        <v>-82</v>
      </c>
      <c r="C60">
        <f>+A60+B60</f>
        <v>158</v>
      </c>
      <c r="D60" t="s">
        <v>68</v>
      </c>
      <c r="E60">
        <f>31+28+31+30+31+30</f>
        <v>181</v>
      </c>
      <c r="F60" s="3">
        <f>+C60*E60</f>
        <v>28598</v>
      </c>
    </row>
    <row r="61" spans="1:23" x14ac:dyDescent="0.25">
      <c r="A61">
        <v>240</v>
      </c>
      <c r="B61">
        <v>-82</v>
      </c>
      <c r="C61">
        <f>+A61+B61</f>
        <v>158</v>
      </c>
      <c r="D61" t="s">
        <v>49</v>
      </c>
      <c r="E61">
        <f>31+31+30+31+30+31</f>
        <v>184</v>
      </c>
      <c r="F61" s="3">
        <f>+E61*C61</f>
        <v>29072</v>
      </c>
    </row>
    <row r="62" spans="1:23" x14ac:dyDescent="0.25">
      <c r="E62" s="4"/>
      <c r="F62" s="6">
        <f>+C62*E62</f>
        <v>0</v>
      </c>
      <c r="Q62">
        <f>134/0.85</f>
        <v>157.64705882352942</v>
      </c>
    </row>
    <row r="63" spans="1:23" x14ac:dyDescent="0.25">
      <c r="E63">
        <f>+E60+E61+E62</f>
        <v>365</v>
      </c>
      <c r="F63" s="3">
        <f>SUM(F60:F62)</f>
        <v>57670</v>
      </c>
      <c r="G63" s="14">
        <f>+F63/365</f>
        <v>158</v>
      </c>
      <c r="H63" s="14">
        <f>+G63*0.85</f>
        <v>134.29999999999998</v>
      </c>
    </row>
    <row r="64" spans="1:23" x14ac:dyDescent="0.25">
      <c r="F64" s="2">
        <v>0.85</v>
      </c>
      <c r="G64" t="s">
        <v>53</v>
      </c>
      <c r="Q64">
        <v>240</v>
      </c>
    </row>
    <row r="65" spans="1:19" x14ac:dyDescent="0.25">
      <c r="F65">
        <f>+F63*F64</f>
        <v>49019.5</v>
      </c>
      <c r="G65" t="s">
        <v>54</v>
      </c>
      <c r="Q65">
        <f>+Q64-Q62</f>
        <v>82.35294117647058</v>
      </c>
    </row>
    <row r="66" spans="1:19" x14ac:dyDescent="0.25">
      <c r="G66" s="5" t="s">
        <v>4</v>
      </c>
    </row>
    <row r="67" spans="1:19" x14ac:dyDescent="0.25">
      <c r="A67" t="s">
        <v>55</v>
      </c>
      <c r="D67" t="s">
        <v>68</v>
      </c>
      <c r="E67">
        <v>181</v>
      </c>
      <c r="F67" s="12">
        <f>+S20</f>
        <v>28593</v>
      </c>
      <c r="G67" s="14">
        <f>+F67/E67</f>
        <v>157.97237569060775</v>
      </c>
    </row>
    <row r="68" spans="1:19" x14ac:dyDescent="0.25">
      <c r="A68" t="s">
        <v>45</v>
      </c>
      <c r="E68">
        <v>184</v>
      </c>
      <c r="F68" s="6">
        <f>+G68*E68</f>
        <v>24508.799999999999</v>
      </c>
      <c r="G68" s="14">
        <v>133.19999999999999</v>
      </c>
    </row>
    <row r="69" spans="1:19" x14ac:dyDescent="0.25">
      <c r="E69">
        <f>+E67+E68</f>
        <v>365</v>
      </c>
      <c r="F69" s="12">
        <f>+F67+F68</f>
        <v>53101.8</v>
      </c>
      <c r="G69" s="14">
        <f>+F69/E69</f>
        <v>145.48438356164385</v>
      </c>
    </row>
    <row r="70" spans="1:19" x14ac:dyDescent="0.25">
      <c r="A70" t="s">
        <v>64</v>
      </c>
      <c r="F70" s="13">
        <f>+F69/F63</f>
        <v>0.92078723773192306</v>
      </c>
    </row>
    <row r="72" spans="1:19" x14ac:dyDescent="0.25">
      <c r="A72" t="s">
        <v>60</v>
      </c>
    </row>
    <row r="73" spans="1:19" x14ac:dyDescent="0.25">
      <c r="A73">
        <v>2022</v>
      </c>
      <c r="Q73" s="1"/>
      <c r="R73" s="1"/>
      <c r="S73" s="1" t="s">
        <v>11</v>
      </c>
    </row>
    <row r="74" spans="1:19" x14ac:dyDescent="0.25">
      <c r="B74" s="5"/>
      <c r="C74" s="5" t="s">
        <v>29</v>
      </c>
      <c r="D74" s="5" t="s">
        <v>28</v>
      </c>
      <c r="E74" s="5" t="s">
        <v>8</v>
      </c>
      <c r="F74" s="5"/>
      <c r="G74" s="5"/>
      <c r="H74" s="5"/>
      <c r="I74" s="5" t="s">
        <v>7</v>
      </c>
      <c r="J74" s="5"/>
      <c r="K74" s="5"/>
      <c r="L74" s="5"/>
      <c r="M74" s="5" t="s">
        <v>31</v>
      </c>
      <c r="N74" s="5" t="s">
        <v>30</v>
      </c>
      <c r="O74" s="5" t="s">
        <v>9</v>
      </c>
      <c r="P74" s="5"/>
      <c r="Q74" s="5"/>
      <c r="R74" s="5"/>
      <c r="S74" s="5" t="s">
        <v>12</v>
      </c>
    </row>
    <row r="75" spans="1:19" x14ac:dyDescent="0.25">
      <c r="A75" t="s">
        <v>61</v>
      </c>
      <c r="C75" s="12">
        <f>+C8+C9+C10</f>
        <v>7555</v>
      </c>
      <c r="D75" s="12">
        <f t="shared" ref="D75:E75" si="35">+D8+D9+D10</f>
        <v>1402</v>
      </c>
      <c r="E75" s="12">
        <f t="shared" si="35"/>
        <v>8957</v>
      </c>
      <c r="I75" s="12">
        <f>+I8+I9+I10</f>
        <v>2152</v>
      </c>
      <c r="J75" s="12"/>
      <c r="K75" s="12"/>
      <c r="M75" s="12">
        <f t="shared" ref="M75:O75" si="36">+M8+M9+M10</f>
        <v>490</v>
      </c>
      <c r="N75" s="12">
        <f t="shared" si="36"/>
        <v>503</v>
      </c>
      <c r="O75" s="12">
        <f t="shared" si="36"/>
        <v>993</v>
      </c>
      <c r="S75" s="12">
        <f>+S8+S9+S10</f>
        <v>12102</v>
      </c>
    </row>
    <row r="76" spans="1:19" x14ac:dyDescent="0.25">
      <c r="A76" t="s">
        <v>62</v>
      </c>
      <c r="C76" s="12">
        <f>+C11+C12+C13</f>
        <v>7661</v>
      </c>
      <c r="D76" s="12">
        <f t="shared" ref="D76:E76" si="37">+D11+D12+D13</f>
        <v>1260</v>
      </c>
      <c r="E76" s="12">
        <f t="shared" si="37"/>
        <v>8921</v>
      </c>
      <c r="I76" s="12">
        <f>+I11+I12+I13</f>
        <v>2188</v>
      </c>
      <c r="M76" s="12">
        <f t="shared" ref="M76:O76" si="38">+M11+M12+M13</f>
        <v>595</v>
      </c>
      <c r="N76" s="12">
        <f t="shared" si="38"/>
        <v>695</v>
      </c>
      <c r="O76" s="12">
        <f t="shared" si="38"/>
        <v>1290</v>
      </c>
      <c r="S76" s="12">
        <f>+S11+S12+S13</f>
        <v>12399</v>
      </c>
    </row>
    <row r="77" spans="1:19" x14ac:dyDescent="0.25">
      <c r="A77" t="s">
        <v>63</v>
      </c>
      <c r="C77" s="12">
        <f>+C14+C15+C16</f>
        <v>2744</v>
      </c>
      <c r="D77" s="12">
        <f>+D14+D15+D16</f>
        <v>392</v>
      </c>
      <c r="E77" s="12">
        <f>+E14+E15+E16</f>
        <v>3136</v>
      </c>
      <c r="F77" s="12"/>
      <c r="G77" s="12"/>
      <c r="H77" s="12"/>
      <c r="I77" s="12">
        <f>+I14+I15+I16</f>
        <v>569</v>
      </c>
      <c r="J77" s="12"/>
      <c r="K77" s="12"/>
      <c r="L77" s="12"/>
      <c r="M77" s="12">
        <f>+M14+M15+M16</f>
        <v>132</v>
      </c>
      <c r="N77" s="12">
        <f>+N14+N15+N16</f>
        <v>255</v>
      </c>
      <c r="O77" s="12">
        <f>+O14+O15+O16</f>
        <v>387</v>
      </c>
      <c r="P77" s="12"/>
      <c r="Q77" s="12"/>
      <c r="R77" s="12"/>
      <c r="S77" s="12">
        <f>+S14+S15+S16</f>
        <v>4092</v>
      </c>
    </row>
    <row r="78" spans="1:19" x14ac:dyDescent="0.25">
      <c r="A78" t="s">
        <v>65</v>
      </c>
      <c r="C78" s="12">
        <f>+C17+C18+C19</f>
        <v>0</v>
      </c>
      <c r="D78" s="12">
        <f t="shared" ref="D78:E78" si="39">+D17+D18+D19</f>
        <v>0</v>
      </c>
      <c r="E78" s="12">
        <f t="shared" si="39"/>
        <v>0</v>
      </c>
      <c r="I78" s="12">
        <f>+I17+I18+I19</f>
        <v>0</v>
      </c>
      <c r="J78" s="12"/>
      <c r="K78" s="12"/>
      <c r="M78" s="12">
        <f>+M17+M18+M19</f>
        <v>0</v>
      </c>
      <c r="N78" s="12">
        <f t="shared" ref="N78:O78" si="40">+N17+N18+N19</f>
        <v>0</v>
      </c>
      <c r="O78" s="12">
        <f t="shared" si="40"/>
        <v>0</v>
      </c>
      <c r="S78" s="12">
        <f t="shared" ref="S78" si="41">+S17+S18+S19</f>
        <v>0</v>
      </c>
    </row>
    <row r="79" spans="1:19" x14ac:dyDescent="0.25">
      <c r="S79" s="12">
        <f>SUM(S75:S78)</f>
        <v>28593</v>
      </c>
    </row>
  </sheetData>
  <pageMargins left="0.25" right="0.25" top="0.75" bottom="0.75" header="0.3" footer="0.3"/>
  <pageSetup scale="38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Test</dc:creator>
  <cp:lastModifiedBy>Lindsey Dood</cp:lastModifiedBy>
  <cp:lastPrinted>2023-08-16T16:22:24Z</cp:lastPrinted>
  <dcterms:created xsi:type="dcterms:W3CDTF">2021-03-05T20:27:05Z</dcterms:created>
  <dcterms:modified xsi:type="dcterms:W3CDTF">2023-08-28T15:59:48Z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6d8c34-1260-4e69-a84c-09ccf9a31c0d_Enabled">
    <vt:lpwstr>true</vt:lpwstr>
  </property>
  <property fmtid="{D5CDD505-2E9C-101B-9397-08002B2CF9AE}" pid="3" name="MSIP_Label_496d8c34-1260-4e69-a84c-09ccf9a31c0d_SetDate">
    <vt:lpwstr>2023-05-11T15:31:47Z</vt:lpwstr>
  </property>
  <property fmtid="{D5CDD505-2E9C-101B-9397-08002B2CF9AE}" pid="4" name="MSIP_Label_496d8c34-1260-4e69-a84c-09ccf9a31c0d_Method">
    <vt:lpwstr>Standard</vt:lpwstr>
  </property>
  <property fmtid="{D5CDD505-2E9C-101B-9397-08002B2CF9AE}" pid="5" name="MSIP_Label_496d8c34-1260-4e69-a84c-09ccf9a31c0d_Name">
    <vt:lpwstr>General</vt:lpwstr>
  </property>
  <property fmtid="{D5CDD505-2E9C-101B-9397-08002B2CF9AE}" pid="6" name="MSIP_Label_496d8c34-1260-4e69-a84c-09ccf9a31c0d_SiteId">
    <vt:lpwstr>7417d9b9-b23d-4ea5-b744-a6fa11401fd2</vt:lpwstr>
  </property>
  <property fmtid="{D5CDD505-2E9C-101B-9397-08002B2CF9AE}" pid="7" name="MSIP_Label_496d8c34-1260-4e69-a84c-09ccf9a31c0d_ActionId">
    <vt:lpwstr>fa7f7f0b-b2b6-4641-9c37-95d8bf6d5153</vt:lpwstr>
  </property>
  <property fmtid="{D5CDD505-2E9C-101B-9397-08002B2CF9AE}" pid="8" name="MSIP_Label_496d8c34-1260-4e69-a84c-09ccf9a31c0d_ContentBits">
    <vt:lpwstr>0</vt:lpwstr>
  </property>
</Properties>
</file>